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65" windowWidth="14805" windowHeight="7950" activeTab="4"/>
  </bookViews>
  <sheets>
    <sheet name="Bieu 01" sheetId="19" r:id="rId1"/>
    <sheet name="Bieu 02" sheetId="15" r:id="rId2"/>
    <sheet name="Phu luc 02" sheetId="21" r:id="rId3"/>
    <sheet name="phu luc 01" sheetId="22" r:id="rId4"/>
    <sheet name="Bieu giao" sheetId="20" r:id="rId5"/>
  </sheets>
  <externalReferences>
    <externalReference r:id="rId6"/>
    <externalReference r:id="rId7"/>
  </externalReferences>
  <definedNames>
    <definedName name="_xlnm.Print_Titles" localSheetId="0">'Bieu 01'!$6:$9</definedName>
    <definedName name="_xlnm.Print_Titles" localSheetId="4">'Bieu giao'!$8:$10</definedName>
    <definedName name="_xlnm.Print_Titles" localSheetId="3">'phu luc 01'!$8:$10</definedName>
    <definedName name="_xlnm.Print_Titles" localSheetId="2">'Phu luc 02'!$7:$13</definedName>
  </definedNames>
  <calcPr calcId="114210" fullCalcOnLoad="1"/>
</workbook>
</file>

<file path=xl/calcChain.xml><?xml version="1.0" encoding="utf-8"?>
<calcChain xmlns="http://schemas.openxmlformats.org/spreadsheetml/2006/main">
  <c r="T240" i="19"/>
  <c r="U240"/>
  <c r="G240"/>
  <c r="X240"/>
  <c r="E240"/>
  <c r="Y240"/>
  <c r="Z240"/>
  <c r="T241"/>
  <c r="U241"/>
  <c r="G241"/>
  <c r="X241"/>
  <c r="E241"/>
  <c r="Y241"/>
  <c r="Z241"/>
  <c r="T242"/>
  <c r="U242"/>
  <c r="G242"/>
  <c r="X242"/>
  <c r="E242"/>
  <c r="Y242"/>
  <c r="Z242"/>
  <c r="G243"/>
  <c r="X243"/>
  <c r="E243"/>
  <c r="Y243"/>
  <c r="Z243"/>
  <c r="G244"/>
  <c r="X244"/>
  <c r="E244"/>
  <c r="Y244"/>
  <c r="Z244"/>
  <c r="T245"/>
  <c r="U245"/>
  <c r="G245"/>
  <c r="X245"/>
  <c r="E245"/>
  <c r="Y245"/>
  <c r="Z245"/>
  <c r="Z239"/>
  <c r="F41" i="22"/>
  <c r="T13" i="19"/>
  <c r="G13"/>
  <c r="X13"/>
  <c r="E13"/>
  <c r="Y13"/>
  <c r="Z13"/>
  <c r="T14"/>
  <c r="G14"/>
  <c r="X14"/>
  <c r="E14"/>
  <c r="Y14"/>
  <c r="Z14"/>
  <c r="T15"/>
  <c r="G15"/>
  <c r="X15"/>
  <c r="E15"/>
  <c r="Y15"/>
  <c r="Z15"/>
  <c r="T16"/>
  <c r="G16"/>
  <c r="X16"/>
  <c r="E16"/>
  <c r="Y16"/>
  <c r="Z16"/>
  <c r="T17"/>
  <c r="G17"/>
  <c r="X17"/>
  <c r="E17"/>
  <c r="Y17"/>
  <c r="Z17"/>
  <c r="T18"/>
  <c r="G18"/>
  <c r="X18"/>
  <c r="E18"/>
  <c r="Y18"/>
  <c r="Z18"/>
  <c r="Z12"/>
  <c r="C17" i="21"/>
  <c r="H17"/>
  <c r="C12" i="22"/>
  <c r="E12"/>
  <c r="T20" i="19"/>
  <c r="G20"/>
  <c r="X20"/>
  <c r="E20"/>
  <c r="Y20"/>
  <c r="Z20"/>
  <c r="T21"/>
  <c r="G21"/>
  <c r="X21"/>
  <c r="E21"/>
  <c r="Y21"/>
  <c r="Z21"/>
  <c r="T22"/>
  <c r="G22"/>
  <c r="X22"/>
  <c r="E22"/>
  <c r="Y22"/>
  <c r="Z22"/>
  <c r="T23"/>
  <c r="G23"/>
  <c r="X23"/>
  <c r="E23"/>
  <c r="Y23"/>
  <c r="Z23"/>
  <c r="T24"/>
  <c r="G24"/>
  <c r="X24"/>
  <c r="E24"/>
  <c r="Y24"/>
  <c r="Z24"/>
  <c r="Z19"/>
  <c r="C18" i="21"/>
  <c r="H18"/>
  <c r="C13" i="22"/>
  <c r="E13"/>
  <c r="T26" i="19"/>
  <c r="G26"/>
  <c r="X26"/>
  <c r="E26"/>
  <c r="Y26"/>
  <c r="Z26"/>
  <c r="T27"/>
  <c r="G27"/>
  <c r="X27"/>
  <c r="E27"/>
  <c r="Y27"/>
  <c r="Z27"/>
  <c r="T28"/>
  <c r="G28"/>
  <c r="X28"/>
  <c r="E28"/>
  <c r="Y28"/>
  <c r="Z28"/>
  <c r="T29"/>
  <c r="G29"/>
  <c r="X29"/>
  <c r="E29"/>
  <c r="Y29"/>
  <c r="Z29"/>
  <c r="T30"/>
  <c r="G30"/>
  <c r="X30"/>
  <c r="E30"/>
  <c r="Y30"/>
  <c r="Z30"/>
  <c r="T31"/>
  <c r="G31"/>
  <c r="X31"/>
  <c r="E31"/>
  <c r="Y31"/>
  <c r="Z31"/>
  <c r="T32"/>
  <c r="G32"/>
  <c r="X32"/>
  <c r="E32"/>
  <c r="Y32"/>
  <c r="Z32"/>
  <c r="Z25"/>
  <c r="C19" i="21"/>
  <c r="H19"/>
  <c r="C14" i="22"/>
  <c r="E14"/>
  <c r="T34" i="19"/>
  <c r="G34"/>
  <c r="X34"/>
  <c r="E34"/>
  <c r="Y34"/>
  <c r="Z34"/>
  <c r="T35"/>
  <c r="G35"/>
  <c r="X35"/>
  <c r="E35"/>
  <c r="Y35"/>
  <c r="Z35"/>
  <c r="T36"/>
  <c r="G36"/>
  <c r="X36"/>
  <c r="E36"/>
  <c r="Y36"/>
  <c r="Z36"/>
  <c r="T37"/>
  <c r="G37"/>
  <c r="X37"/>
  <c r="E37"/>
  <c r="Y37"/>
  <c r="Z37"/>
  <c r="T38"/>
  <c r="G38"/>
  <c r="X38"/>
  <c r="E38"/>
  <c r="Y38"/>
  <c r="Z38"/>
  <c r="Z33"/>
  <c r="C20" i="21"/>
  <c r="H20"/>
  <c r="C15" i="22"/>
  <c r="E15"/>
  <c r="T40" i="19"/>
  <c r="G40"/>
  <c r="X40"/>
  <c r="E40"/>
  <c r="Y40"/>
  <c r="Z40"/>
  <c r="T41"/>
  <c r="G41"/>
  <c r="X41"/>
  <c r="E41"/>
  <c r="Y41"/>
  <c r="Z41"/>
  <c r="T42"/>
  <c r="G42"/>
  <c r="X42"/>
  <c r="E42"/>
  <c r="Y42"/>
  <c r="Z42"/>
  <c r="T43"/>
  <c r="G43"/>
  <c r="X43"/>
  <c r="E43"/>
  <c r="Y43"/>
  <c r="Z43"/>
  <c r="T44"/>
  <c r="G44"/>
  <c r="X44"/>
  <c r="E44"/>
  <c r="Y44"/>
  <c r="Z44"/>
  <c r="Z39"/>
  <c r="C21" i="21"/>
  <c r="H21"/>
  <c r="C16" i="22"/>
  <c r="E16"/>
  <c r="T46" i="19"/>
  <c r="G46"/>
  <c r="X46"/>
  <c r="E46"/>
  <c r="Y46"/>
  <c r="Z46"/>
  <c r="T47"/>
  <c r="G47"/>
  <c r="X47"/>
  <c r="E47"/>
  <c r="Y47"/>
  <c r="Z47"/>
  <c r="T48"/>
  <c r="G48"/>
  <c r="X48"/>
  <c r="E48"/>
  <c r="Y48"/>
  <c r="Z48"/>
  <c r="T49"/>
  <c r="G49"/>
  <c r="X49"/>
  <c r="E49"/>
  <c r="Y49"/>
  <c r="Z49"/>
  <c r="Z45"/>
  <c r="C22" i="21"/>
  <c r="H22"/>
  <c r="C17" i="22"/>
  <c r="E17"/>
  <c r="T51" i="19"/>
  <c r="G51"/>
  <c r="X51"/>
  <c r="E51"/>
  <c r="Y51"/>
  <c r="Z51"/>
  <c r="T52"/>
  <c r="G52"/>
  <c r="X52"/>
  <c r="E52"/>
  <c r="Y52"/>
  <c r="Z52"/>
  <c r="T53"/>
  <c r="G53"/>
  <c r="X53"/>
  <c r="E53"/>
  <c r="Y53"/>
  <c r="Z53"/>
  <c r="T54"/>
  <c r="G54"/>
  <c r="X54"/>
  <c r="E54"/>
  <c r="Y54"/>
  <c r="Z54"/>
  <c r="T55"/>
  <c r="G55"/>
  <c r="X55"/>
  <c r="E55"/>
  <c r="Y55"/>
  <c r="Z55"/>
  <c r="T56"/>
  <c r="G56"/>
  <c r="X56"/>
  <c r="E56"/>
  <c r="Y56"/>
  <c r="Z56"/>
  <c r="Z50"/>
  <c r="C23" i="21"/>
  <c r="H23"/>
  <c r="C18" i="22"/>
  <c r="E18"/>
  <c r="T58" i="19"/>
  <c r="G58"/>
  <c r="X58"/>
  <c r="E58"/>
  <c r="Y58"/>
  <c r="Z58"/>
  <c r="T59"/>
  <c r="G59"/>
  <c r="X59"/>
  <c r="E59"/>
  <c r="Y59"/>
  <c r="Z59"/>
  <c r="T60"/>
  <c r="G60"/>
  <c r="X60"/>
  <c r="E60"/>
  <c r="Y60"/>
  <c r="Z60"/>
  <c r="T61"/>
  <c r="G61"/>
  <c r="X61"/>
  <c r="E61"/>
  <c r="Y61"/>
  <c r="Z61"/>
  <c r="T62"/>
  <c r="G62"/>
  <c r="X62"/>
  <c r="E62"/>
  <c r="Y62"/>
  <c r="Z62"/>
  <c r="T63"/>
  <c r="G63"/>
  <c r="X63"/>
  <c r="E63"/>
  <c r="Y63"/>
  <c r="Z63"/>
  <c r="Z57"/>
  <c r="C24" i="21"/>
  <c r="H24"/>
  <c r="C19" i="22"/>
  <c r="E19"/>
  <c r="T65" i="19"/>
  <c r="G65"/>
  <c r="X65"/>
  <c r="E65"/>
  <c r="Y65"/>
  <c r="Z65"/>
  <c r="T66"/>
  <c r="G66"/>
  <c r="X66"/>
  <c r="E66"/>
  <c r="Y66"/>
  <c r="Z66"/>
  <c r="T67"/>
  <c r="G67"/>
  <c r="X67"/>
  <c r="E67"/>
  <c r="Y67"/>
  <c r="Z67"/>
  <c r="T68"/>
  <c r="G68"/>
  <c r="X68"/>
  <c r="E68"/>
  <c r="Y68"/>
  <c r="Z68"/>
  <c r="T69"/>
  <c r="G69"/>
  <c r="X69"/>
  <c r="E69"/>
  <c r="Y69"/>
  <c r="Z69"/>
  <c r="Z64"/>
  <c r="C25" i="21"/>
  <c r="H25"/>
  <c r="C20" i="22"/>
  <c r="E20"/>
  <c r="T71" i="19"/>
  <c r="G71"/>
  <c r="X71"/>
  <c r="E71"/>
  <c r="Y71"/>
  <c r="Z71"/>
  <c r="T72"/>
  <c r="G72"/>
  <c r="X72"/>
  <c r="E72"/>
  <c r="Y72"/>
  <c r="Z72"/>
  <c r="T73"/>
  <c r="G73"/>
  <c r="X73"/>
  <c r="E73"/>
  <c r="Y73"/>
  <c r="Z73"/>
  <c r="T74"/>
  <c r="G74"/>
  <c r="X74"/>
  <c r="E74"/>
  <c r="Y74"/>
  <c r="Z74"/>
  <c r="T75"/>
  <c r="G75"/>
  <c r="X75"/>
  <c r="E75"/>
  <c r="Y75"/>
  <c r="Z75"/>
  <c r="T76"/>
  <c r="G76"/>
  <c r="X76"/>
  <c r="E76"/>
  <c r="Y76"/>
  <c r="Z76"/>
  <c r="Z70"/>
  <c r="C26" i="21"/>
  <c r="H26"/>
  <c r="G284" i="19"/>
  <c r="E284"/>
  <c r="Y284"/>
  <c r="Z284"/>
  <c r="G285"/>
  <c r="E285"/>
  <c r="Y285"/>
  <c r="Z285"/>
  <c r="G286"/>
  <c r="E286"/>
  <c r="Y286"/>
  <c r="Z286"/>
  <c r="G287"/>
  <c r="E287"/>
  <c r="Y287"/>
  <c r="Z287"/>
  <c r="G288"/>
  <c r="E288"/>
  <c r="Y288"/>
  <c r="Z288"/>
  <c r="G289"/>
  <c r="E289"/>
  <c r="Y289"/>
  <c r="Z289"/>
  <c r="G290"/>
  <c r="E290"/>
  <c r="Y290"/>
  <c r="Z290"/>
  <c r="G291"/>
  <c r="E291"/>
  <c r="Y291"/>
  <c r="Z291"/>
  <c r="W292"/>
  <c r="G292"/>
  <c r="X292"/>
  <c r="E292"/>
  <c r="Y292"/>
  <c r="Z292"/>
  <c r="Z283"/>
  <c r="G294"/>
  <c r="E294"/>
  <c r="Y294"/>
  <c r="Z294"/>
  <c r="G295"/>
  <c r="E295"/>
  <c r="Y295"/>
  <c r="Z295"/>
  <c r="G296"/>
  <c r="E296"/>
  <c r="Y296"/>
  <c r="Z296"/>
  <c r="G297"/>
  <c r="E297"/>
  <c r="Y297"/>
  <c r="Z297"/>
  <c r="G298"/>
  <c r="E298"/>
  <c r="Y298"/>
  <c r="Z298"/>
  <c r="G299"/>
  <c r="E299"/>
  <c r="Y299"/>
  <c r="Z299"/>
  <c r="G300"/>
  <c r="E300"/>
  <c r="Y300"/>
  <c r="Z300"/>
  <c r="G301"/>
  <c r="E301"/>
  <c r="Y301"/>
  <c r="Z301"/>
  <c r="G302"/>
  <c r="E302"/>
  <c r="Y302"/>
  <c r="Z302"/>
  <c r="G303"/>
  <c r="E303"/>
  <c r="Y303"/>
  <c r="Z303"/>
  <c r="G304"/>
  <c r="E304"/>
  <c r="Y304"/>
  <c r="Z304"/>
  <c r="G305"/>
  <c r="E305"/>
  <c r="Y305"/>
  <c r="Z305"/>
  <c r="G306"/>
  <c r="E306"/>
  <c r="Y306"/>
  <c r="Z306"/>
  <c r="G307"/>
  <c r="E307"/>
  <c r="Y307"/>
  <c r="Z307"/>
  <c r="G308"/>
  <c r="E308"/>
  <c r="Y308"/>
  <c r="Z308"/>
  <c r="G309"/>
  <c r="E309"/>
  <c r="Y309"/>
  <c r="Z309"/>
  <c r="W310"/>
  <c r="G310"/>
  <c r="X310"/>
  <c r="E310"/>
  <c r="Y310"/>
  <c r="Z310"/>
  <c r="Z293"/>
  <c r="G312"/>
  <c r="E312"/>
  <c r="Y312"/>
  <c r="Z312"/>
  <c r="G313"/>
  <c r="E313"/>
  <c r="Y313"/>
  <c r="Z313"/>
  <c r="G314"/>
  <c r="E314"/>
  <c r="Y314"/>
  <c r="Z314"/>
  <c r="G315"/>
  <c r="E315"/>
  <c r="Y315"/>
  <c r="Z315"/>
  <c r="G316"/>
  <c r="E316"/>
  <c r="Y316"/>
  <c r="Z316"/>
  <c r="G317"/>
  <c r="E317"/>
  <c r="Y317"/>
  <c r="Z317"/>
  <c r="G318"/>
  <c r="E318"/>
  <c r="Y318"/>
  <c r="Z318"/>
  <c r="W319"/>
  <c r="G319"/>
  <c r="X319"/>
  <c r="E319"/>
  <c r="Y319"/>
  <c r="Z319"/>
  <c r="Z311"/>
  <c r="Z282"/>
  <c r="C56" i="21"/>
  <c r="H56"/>
  <c r="C21" i="22"/>
  <c r="E21"/>
  <c r="H27" i="21"/>
  <c r="C23" i="22"/>
  <c r="E23"/>
  <c r="N123" i="19"/>
  <c r="T123"/>
  <c r="U123"/>
  <c r="G123"/>
  <c r="X123"/>
  <c r="E123"/>
  <c r="Y123"/>
  <c r="Z123"/>
  <c r="N124"/>
  <c r="T124"/>
  <c r="U124"/>
  <c r="G124"/>
  <c r="X124"/>
  <c r="E124"/>
  <c r="Y124"/>
  <c r="Z124"/>
  <c r="N125"/>
  <c r="T125"/>
  <c r="U125"/>
  <c r="G125"/>
  <c r="X125"/>
  <c r="E125"/>
  <c r="Y125"/>
  <c r="Z125"/>
  <c r="N126"/>
  <c r="T126"/>
  <c r="U126"/>
  <c r="G126"/>
  <c r="X126"/>
  <c r="E126"/>
  <c r="Y126"/>
  <c r="Z126"/>
  <c r="N127"/>
  <c r="T127"/>
  <c r="U127"/>
  <c r="G127"/>
  <c r="X127"/>
  <c r="E127"/>
  <c r="Y127"/>
  <c r="Z127"/>
  <c r="N128"/>
  <c r="T128"/>
  <c r="U128"/>
  <c r="G128"/>
  <c r="X128"/>
  <c r="E128"/>
  <c r="Y128"/>
  <c r="Z128"/>
  <c r="Z122"/>
  <c r="C32" i="21"/>
  <c r="H32"/>
  <c r="N130" i="19"/>
  <c r="Q130"/>
  <c r="T130"/>
  <c r="G130"/>
  <c r="X130"/>
  <c r="E130"/>
  <c r="Y130"/>
  <c r="Z130"/>
  <c r="N131"/>
  <c r="Q131"/>
  <c r="T131"/>
  <c r="G131"/>
  <c r="X131"/>
  <c r="E131"/>
  <c r="Y131"/>
  <c r="Z131"/>
  <c r="N132"/>
  <c r="Q132"/>
  <c r="T132"/>
  <c r="G132"/>
  <c r="X132"/>
  <c r="E132"/>
  <c r="Y132"/>
  <c r="Z132"/>
  <c r="N133"/>
  <c r="Q133"/>
  <c r="T133"/>
  <c r="G133"/>
  <c r="X133"/>
  <c r="E133"/>
  <c r="Y133"/>
  <c r="Z133"/>
  <c r="Z129"/>
  <c r="C33" i="21"/>
  <c r="H33"/>
  <c r="N135" i="19"/>
  <c r="T135"/>
  <c r="U135"/>
  <c r="G135"/>
  <c r="X135"/>
  <c r="E135"/>
  <c r="Y135"/>
  <c r="Z135"/>
  <c r="N136"/>
  <c r="T136"/>
  <c r="U136"/>
  <c r="G136"/>
  <c r="X136"/>
  <c r="E136"/>
  <c r="Y136"/>
  <c r="Z136"/>
  <c r="N137"/>
  <c r="T137"/>
  <c r="U137"/>
  <c r="G137"/>
  <c r="X137"/>
  <c r="E137"/>
  <c r="Y137"/>
  <c r="Z137"/>
  <c r="Z134"/>
  <c r="C34" i="21"/>
  <c r="H34"/>
  <c r="J139" i="19"/>
  <c r="N139"/>
  <c r="T139"/>
  <c r="U139"/>
  <c r="G139"/>
  <c r="X139"/>
  <c r="E139"/>
  <c r="Y139"/>
  <c r="Z139"/>
  <c r="N140"/>
  <c r="T140"/>
  <c r="U140"/>
  <c r="G140"/>
  <c r="X140"/>
  <c r="E140"/>
  <c r="Y140"/>
  <c r="Z140"/>
  <c r="N141"/>
  <c r="T141"/>
  <c r="U141"/>
  <c r="G141"/>
  <c r="X141"/>
  <c r="E141"/>
  <c r="Y141"/>
  <c r="Z141"/>
  <c r="N142"/>
  <c r="T142"/>
  <c r="U142"/>
  <c r="G142"/>
  <c r="X142"/>
  <c r="E142"/>
  <c r="Y142"/>
  <c r="Z142"/>
  <c r="Z138"/>
  <c r="C35" i="21"/>
  <c r="H35"/>
  <c r="T144" i="19"/>
  <c r="U144"/>
  <c r="G144"/>
  <c r="X144"/>
  <c r="E144"/>
  <c r="Y144"/>
  <c r="Z144"/>
  <c r="T145"/>
  <c r="U145"/>
  <c r="G145"/>
  <c r="X145"/>
  <c r="E145"/>
  <c r="Y145"/>
  <c r="Z145"/>
  <c r="T146"/>
  <c r="U146"/>
  <c r="G146"/>
  <c r="X146"/>
  <c r="E146"/>
  <c r="Y146"/>
  <c r="Z146"/>
  <c r="T147"/>
  <c r="U147"/>
  <c r="G147"/>
  <c r="X147"/>
  <c r="E147"/>
  <c r="Y147"/>
  <c r="Z147"/>
  <c r="T148"/>
  <c r="U148"/>
  <c r="G148"/>
  <c r="X148"/>
  <c r="E148"/>
  <c r="Y148"/>
  <c r="Z148"/>
  <c r="T149"/>
  <c r="U149"/>
  <c r="G149"/>
  <c r="X149"/>
  <c r="E149"/>
  <c r="Y149"/>
  <c r="Z149"/>
  <c r="T150"/>
  <c r="U150"/>
  <c r="G150"/>
  <c r="X150"/>
  <c r="E150"/>
  <c r="Y150"/>
  <c r="Z150"/>
  <c r="T151"/>
  <c r="U151"/>
  <c r="G151"/>
  <c r="X151"/>
  <c r="E151"/>
  <c r="Y151"/>
  <c r="Z151"/>
  <c r="T152"/>
  <c r="U152"/>
  <c r="G152"/>
  <c r="X152"/>
  <c r="E152"/>
  <c r="Y152"/>
  <c r="Z152"/>
  <c r="T153"/>
  <c r="U153"/>
  <c r="G153"/>
  <c r="X153"/>
  <c r="E153"/>
  <c r="Y153"/>
  <c r="Z153"/>
  <c r="T154"/>
  <c r="U154"/>
  <c r="G154"/>
  <c r="X154"/>
  <c r="E154"/>
  <c r="Y154"/>
  <c r="Z154"/>
  <c r="T155"/>
  <c r="U155"/>
  <c r="G155"/>
  <c r="X155"/>
  <c r="E155"/>
  <c r="Y155"/>
  <c r="Z155"/>
  <c r="T156"/>
  <c r="U156"/>
  <c r="G156"/>
  <c r="X156"/>
  <c r="E156"/>
  <c r="Y156"/>
  <c r="Z156"/>
  <c r="T157"/>
  <c r="U157"/>
  <c r="G157"/>
  <c r="X157"/>
  <c r="E157"/>
  <c r="Y157"/>
  <c r="Z157"/>
  <c r="T158"/>
  <c r="U158"/>
  <c r="G158"/>
  <c r="X158"/>
  <c r="E158"/>
  <c r="Y158"/>
  <c r="Z158"/>
  <c r="T159"/>
  <c r="U159"/>
  <c r="G159"/>
  <c r="X159"/>
  <c r="E159"/>
  <c r="Y159"/>
  <c r="Z159"/>
  <c r="T160"/>
  <c r="U160"/>
  <c r="G160"/>
  <c r="X160"/>
  <c r="E160"/>
  <c r="Y160"/>
  <c r="Z160"/>
  <c r="T161"/>
  <c r="U161"/>
  <c r="G161"/>
  <c r="X161"/>
  <c r="E161"/>
  <c r="Y161"/>
  <c r="Z161"/>
  <c r="T162"/>
  <c r="U162"/>
  <c r="G162"/>
  <c r="X162"/>
  <c r="E162"/>
  <c r="Y162"/>
  <c r="Z162"/>
  <c r="T163"/>
  <c r="U163"/>
  <c r="G163"/>
  <c r="X163"/>
  <c r="E163"/>
  <c r="Y163"/>
  <c r="Z163"/>
  <c r="T164"/>
  <c r="U164"/>
  <c r="G164"/>
  <c r="X164"/>
  <c r="E164"/>
  <c r="Y164"/>
  <c r="Z164"/>
  <c r="T165"/>
  <c r="U165"/>
  <c r="G165"/>
  <c r="X165"/>
  <c r="E165"/>
  <c r="Y165"/>
  <c r="Z165"/>
  <c r="T166"/>
  <c r="U166"/>
  <c r="G166"/>
  <c r="X166"/>
  <c r="E166"/>
  <c r="Y166"/>
  <c r="Z166"/>
  <c r="T167"/>
  <c r="U167"/>
  <c r="G167"/>
  <c r="X167"/>
  <c r="E167"/>
  <c r="Y167"/>
  <c r="Z167"/>
  <c r="T168"/>
  <c r="U168"/>
  <c r="G168"/>
  <c r="X168"/>
  <c r="E168"/>
  <c r="Y168"/>
  <c r="Z168"/>
  <c r="T169"/>
  <c r="U169"/>
  <c r="G169"/>
  <c r="X169"/>
  <c r="E169"/>
  <c r="Y169"/>
  <c r="Z169"/>
  <c r="T170"/>
  <c r="U170"/>
  <c r="G170"/>
  <c r="X170"/>
  <c r="E170"/>
  <c r="Y170"/>
  <c r="Z170"/>
  <c r="T171"/>
  <c r="U171"/>
  <c r="G171"/>
  <c r="X171"/>
  <c r="E171"/>
  <c r="Y171"/>
  <c r="Z171"/>
  <c r="T172"/>
  <c r="U172"/>
  <c r="G172"/>
  <c r="X172"/>
  <c r="E172"/>
  <c r="Y172"/>
  <c r="Z172"/>
  <c r="T173"/>
  <c r="U173"/>
  <c r="G173"/>
  <c r="X173"/>
  <c r="E173"/>
  <c r="Y173"/>
  <c r="Z173"/>
  <c r="T174"/>
  <c r="U174"/>
  <c r="G174"/>
  <c r="X174"/>
  <c r="E174"/>
  <c r="Y174"/>
  <c r="Z174"/>
  <c r="T175"/>
  <c r="U175"/>
  <c r="G175"/>
  <c r="X175"/>
  <c r="E175"/>
  <c r="Y175"/>
  <c r="Z175"/>
  <c r="T176"/>
  <c r="U176"/>
  <c r="G176"/>
  <c r="X176"/>
  <c r="E176"/>
  <c r="Y176"/>
  <c r="Z176"/>
  <c r="T177"/>
  <c r="U177"/>
  <c r="G177"/>
  <c r="X177"/>
  <c r="E177"/>
  <c r="Y177"/>
  <c r="Z177"/>
  <c r="T178"/>
  <c r="U178"/>
  <c r="G178"/>
  <c r="X178"/>
  <c r="E178"/>
  <c r="Y178"/>
  <c r="Z178"/>
  <c r="Z143"/>
  <c r="C36" i="21"/>
  <c r="H36"/>
  <c r="T180" i="19"/>
  <c r="U180"/>
  <c r="G180"/>
  <c r="X180"/>
  <c r="E180"/>
  <c r="Y180"/>
  <c r="Z180"/>
  <c r="T181"/>
  <c r="U181"/>
  <c r="G181"/>
  <c r="X181"/>
  <c r="E181"/>
  <c r="Y181"/>
  <c r="Z181"/>
  <c r="T182"/>
  <c r="U182"/>
  <c r="G182"/>
  <c r="X182"/>
  <c r="E182"/>
  <c r="Y182"/>
  <c r="Z182"/>
  <c r="T183"/>
  <c r="U183"/>
  <c r="G183"/>
  <c r="X183"/>
  <c r="E183"/>
  <c r="Y183"/>
  <c r="Z183"/>
  <c r="T184"/>
  <c r="U184"/>
  <c r="G184"/>
  <c r="X184"/>
  <c r="E184"/>
  <c r="Y184"/>
  <c r="Z184"/>
  <c r="T185"/>
  <c r="U185"/>
  <c r="G185"/>
  <c r="X185"/>
  <c r="E185"/>
  <c r="Y185"/>
  <c r="Z185"/>
  <c r="T186"/>
  <c r="U186"/>
  <c r="G186"/>
  <c r="X186"/>
  <c r="E186"/>
  <c r="Y186"/>
  <c r="Z186"/>
  <c r="T187"/>
  <c r="U187"/>
  <c r="G187"/>
  <c r="X187"/>
  <c r="E187"/>
  <c r="Y187"/>
  <c r="Z187"/>
  <c r="T188"/>
  <c r="U188"/>
  <c r="G188"/>
  <c r="X188"/>
  <c r="E188"/>
  <c r="Y188"/>
  <c r="Z188"/>
  <c r="T189"/>
  <c r="U189"/>
  <c r="G189"/>
  <c r="X189"/>
  <c r="E189"/>
  <c r="Y189"/>
  <c r="Z189"/>
  <c r="T190"/>
  <c r="U190"/>
  <c r="G190"/>
  <c r="X190"/>
  <c r="E190"/>
  <c r="Y190"/>
  <c r="Z190"/>
  <c r="T191"/>
  <c r="U191"/>
  <c r="G191"/>
  <c r="X191"/>
  <c r="E191"/>
  <c r="Y191"/>
  <c r="Z191"/>
  <c r="T192"/>
  <c r="U192"/>
  <c r="G192"/>
  <c r="X192"/>
  <c r="E192"/>
  <c r="Y192"/>
  <c r="Z192"/>
  <c r="T193"/>
  <c r="U193"/>
  <c r="G193"/>
  <c r="X193"/>
  <c r="E193"/>
  <c r="Y193"/>
  <c r="Z193"/>
  <c r="T194"/>
  <c r="U194"/>
  <c r="G194"/>
  <c r="X194"/>
  <c r="E194"/>
  <c r="Y194"/>
  <c r="Z194"/>
  <c r="T195"/>
  <c r="U195"/>
  <c r="G195"/>
  <c r="X195"/>
  <c r="E195"/>
  <c r="Y195"/>
  <c r="Z195"/>
  <c r="T196"/>
  <c r="U196"/>
  <c r="G196"/>
  <c r="X196"/>
  <c r="E196"/>
  <c r="Y196"/>
  <c r="Z196"/>
  <c r="T197"/>
  <c r="U197"/>
  <c r="G197"/>
  <c r="X197"/>
  <c r="E197"/>
  <c r="Y197"/>
  <c r="Z197"/>
  <c r="T198"/>
  <c r="U198"/>
  <c r="G198"/>
  <c r="X198"/>
  <c r="E198"/>
  <c r="Y198"/>
  <c r="Z198"/>
  <c r="T199"/>
  <c r="U199"/>
  <c r="G199"/>
  <c r="X199"/>
  <c r="E199"/>
  <c r="Y199"/>
  <c r="Z199"/>
  <c r="T200"/>
  <c r="U200"/>
  <c r="G200"/>
  <c r="X200"/>
  <c r="E200"/>
  <c r="Y200"/>
  <c r="Z200"/>
  <c r="T201"/>
  <c r="U201"/>
  <c r="G201"/>
  <c r="X201"/>
  <c r="E201"/>
  <c r="Y201"/>
  <c r="Z201"/>
  <c r="T202"/>
  <c r="U202"/>
  <c r="G202"/>
  <c r="X202"/>
  <c r="E202"/>
  <c r="Y202"/>
  <c r="Z202"/>
  <c r="T203"/>
  <c r="U203"/>
  <c r="G203"/>
  <c r="X203"/>
  <c r="E203"/>
  <c r="Y203"/>
  <c r="Z203"/>
  <c r="T204"/>
  <c r="U204"/>
  <c r="G204"/>
  <c r="X204"/>
  <c r="E204"/>
  <c r="Y204"/>
  <c r="Z204"/>
  <c r="T205"/>
  <c r="U205"/>
  <c r="G205"/>
  <c r="X205"/>
  <c r="E205"/>
  <c r="Y205"/>
  <c r="Z205"/>
  <c r="T206"/>
  <c r="U206"/>
  <c r="G206"/>
  <c r="X206"/>
  <c r="E206"/>
  <c r="Y206"/>
  <c r="Z206"/>
  <c r="Z179"/>
  <c r="C37" i="21"/>
  <c r="H37"/>
  <c r="T208" i="19"/>
  <c r="U208"/>
  <c r="G208"/>
  <c r="X208"/>
  <c r="E208"/>
  <c r="Y208"/>
  <c r="Z208"/>
  <c r="T209"/>
  <c r="U209"/>
  <c r="G209"/>
  <c r="X209"/>
  <c r="E209"/>
  <c r="Y209"/>
  <c r="Z209"/>
  <c r="T210"/>
  <c r="U210"/>
  <c r="G210"/>
  <c r="X210"/>
  <c r="E210"/>
  <c r="Y210"/>
  <c r="Z210"/>
  <c r="T211"/>
  <c r="U211"/>
  <c r="G211"/>
  <c r="X211"/>
  <c r="E211"/>
  <c r="Y211"/>
  <c r="Z211"/>
  <c r="T212"/>
  <c r="U212"/>
  <c r="G212"/>
  <c r="X212"/>
  <c r="E212"/>
  <c r="Y212"/>
  <c r="Z212"/>
  <c r="T213"/>
  <c r="U213"/>
  <c r="G213"/>
  <c r="X213"/>
  <c r="E213"/>
  <c r="Y213"/>
  <c r="Z213"/>
  <c r="T214"/>
  <c r="U214"/>
  <c r="G214"/>
  <c r="X214"/>
  <c r="E214"/>
  <c r="Y214"/>
  <c r="Z214"/>
  <c r="T215"/>
  <c r="U215"/>
  <c r="G215"/>
  <c r="X215"/>
  <c r="E215"/>
  <c r="Y215"/>
  <c r="Z215"/>
  <c r="T216"/>
  <c r="U216"/>
  <c r="G216"/>
  <c r="X216"/>
  <c r="E216"/>
  <c r="Y216"/>
  <c r="Z216"/>
  <c r="T217"/>
  <c r="U217"/>
  <c r="G217"/>
  <c r="X217"/>
  <c r="E217"/>
  <c r="Y217"/>
  <c r="Z217"/>
  <c r="T218"/>
  <c r="U218"/>
  <c r="G218"/>
  <c r="X218"/>
  <c r="E218"/>
  <c r="Y218"/>
  <c r="Z218"/>
  <c r="T219"/>
  <c r="U219"/>
  <c r="G219"/>
  <c r="X219"/>
  <c r="E219"/>
  <c r="Y219"/>
  <c r="Z219"/>
  <c r="T220"/>
  <c r="U220"/>
  <c r="G220"/>
  <c r="X220"/>
  <c r="E220"/>
  <c r="Y220"/>
  <c r="Z220"/>
  <c r="T221"/>
  <c r="U221"/>
  <c r="G221"/>
  <c r="X221"/>
  <c r="E221"/>
  <c r="Y221"/>
  <c r="Z221"/>
  <c r="T222"/>
  <c r="U222"/>
  <c r="G222"/>
  <c r="X222"/>
  <c r="E222"/>
  <c r="Y222"/>
  <c r="Z222"/>
  <c r="T223"/>
  <c r="U223"/>
  <c r="G223"/>
  <c r="X223"/>
  <c r="E223"/>
  <c r="Y223"/>
  <c r="Z223"/>
  <c r="T224"/>
  <c r="U224"/>
  <c r="G224"/>
  <c r="X224"/>
  <c r="E224"/>
  <c r="Y224"/>
  <c r="Z224"/>
  <c r="T225"/>
  <c r="U225"/>
  <c r="G225"/>
  <c r="X225"/>
  <c r="E225"/>
  <c r="Y225"/>
  <c r="Z225"/>
  <c r="T226"/>
  <c r="U226"/>
  <c r="G226"/>
  <c r="X226"/>
  <c r="E226"/>
  <c r="Y226"/>
  <c r="Z226"/>
  <c r="T227"/>
  <c r="U227"/>
  <c r="G227"/>
  <c r="X227"/>
  <c r="E227"/>
  <c r="Y227"/>
  <c r="Z227"/>
  <c r="T228"/>
  <c r="U228"/>
  <c r="G228"/>
  <c r="X228"/>
  <c r="E228"/>
  <c r="Y228"/>
  <c r="Z228"/>
  <c r="T229"/>
  <c r="U229"/>
  <c r="G229"/>
  <c r="X229"/>
  <c r="E229"/>
  <c r="Y229"/>
  <c r="Z229"/>
  <c r="T230"/>
  <c r="U230"/>
  <c r="G230"/>
  <c r="X230"/>
  <c r="E230"/>
  <c r="Y230"/>
  <c r="Z230"/>
  <c r="T231"/>
  <c r="U231"/>
  <c r="G231"/>
  <c r="X231"/>
  <c r="E231"/>
  <c r="Y231"/>
  <c r="Z231"/>
  <c r="T232"/>
  <c r="U232"/>
  <c r="G232"/>
  <c r="X232"/>
  <c r="E232"/>
  <c r="Y232"/>
  <c r="Z232"/>
  <c r="T233"/>
  <c r="U233"/>
  <c r="G233"/>
  <c r="X233"/>
  <c r="E233"/>
  <c r="Y233"/>
  <c r="Z233"/>
  <c r="Z207"/>
  <c r="C38" i="21"/>
  <c r="H38"/>
  <c r="T235" i="19"/>
  <c r="U235"/>
  <c r="G235"/>
  <c r="X235"/>
  <c r="E235"/>
  <c r="Y235"/>
  <c r="Z235"/>
  <c r="T236"/>
  <c r="U236"/>
  <c r="G236"/>
  <c r="X236"/>
  <c r="E236"/>
  <c r="Y236"/>
  <c r="Z236"/>
  <c r="T237"/>
  <c r="U237"/>
  <c r="G237"/>
  <c r="X237"/>
  <c r="E237"/>
  <c r="Y237"/>
  <c r="Z237"/>
  <c r="Z234"/>
  <c r="C39" i="21"/>
  <c r="H39"/>
  <c r="N92" i="19"/>
  <c r="T92"/>
  <c r="U92"/>
  <c r="G92"/>
  <c r="X92"/>
  <c r="E92"/>
  <c r="Y92"/>
  <c r="Z92"/>
  <c r="N93"/>
  <c r="T93"/>
  <c r="U93"/>
  <c r="G93"/>
  <c r="X93"/>
  <c r="E93"/>
  <c r="Y93"/>
  <c r="Z93"/>
  <c r="N94"/>
  <c r="T94"/>
  <c r="U94"/>
  <c r="G94"/>
  <c r="X94"/>
  <c r="E94"/>
  <c r="Y94"/>
  <c r="Z94"/>
  <c r="N95"/>
  <c r="T95"/>
  <c r="U95"/>
  <c r="G95"/>
  <c r="X95"/>
  <c r="E95"/>
  <c r="Y95"/>
  <c r="Z95"/>
  <c r="N96"/>
  <c r="T96"/>
  <c r="U96"/>
  <c r="G96"/>
  <c r="X96"/>
  <c r="E96"/>
  <c r="Y96"/>
  <c r="Z96"/>
  <c r="N97"/>
  <c r="T97"/>
  <c r="U97"/>
  <c r="G97"/>
  <c r="X97"/>
  <c r="E97"/>
  <c r="Y97"/>
  <c r="Z97"/>
  <c r="N98"/>
  <c r="T98"/>
  <c r="U98"/>
  <c r="G98"/>
  <c r="X98"/>
  <c r="E98"/>
  <c r="Y98"/>
  <c r="Z98"/>
  <c r="N99"/>
  <c r="T99"/>
  <c r="U99"/>
  <c r="G99"/>
  <c r="X99"/>
  <c r="E99"/>
  <c r="Y99"/>
  <c r="Z99"/>
  <c r="N100"/>
  <c r="T100"/>
  <c r="U100"/>
  <c r="G100"/>
  <c r="X100"/>
  <c r="E100"/>
  <c r="Y100"/>
  <c r="Z100"/>
  <c r="N101"/>
  <c r="T101"/>
  <c r="U101"/>
  <c r="G101"/>
  <c r="X101"/>
  <c r="E101"/>
  <c r="Y101"/>
  <c r="Z101"/>
  <c r="N102"/>
  <c r="T102"/>
  <c r="U102"/>
  <c r="G102"/>
  <c r="X102"/>
  <c r="E102"/>
  <c r="Y102"/>
  <c r="Z102"/>
  <c r="N103"/>
  <c r="T103"/>
  <c r="U103"/>
  <c r="G103"/>
  <c r="X103"/>
  <c r="E103"/>
  <c r="Y103"/>
  <c r="Z103"/>
  <c r="N104"/>
  <c r="T104"/>
  <c r="G104"/>
  <c r="X104"/>
  <c r="E104"/>
  <c r="Y104"/>
  <c r="Z104"/>
  <c r="N105"/>
  <c r="T105"/>
  <c r="U105"/>
  <c r="G105"/>
  <c r="X105"/>
  <c r="E105"/>
  <c r="Y105"/>
  <c r="Z105"/>
  <c r="N106"/>
  <c r="T106"/>
  <c r="U106"/>
  <c r="G106"/>
  <c r="X106"/>
  <c r="E106"/>
  <c r="Y106"/>
  <c r="Z106"/>
  <c r="N107"/>
  <c r="T107"/>
  <c r="U107"/>
  <c r="G107"/>
  <c r="X107"/>
  <c r="E107"/>
  <c r="Y107"/>
  <c r="Z107"/>
  <c r="N108"/>
  <c r="T108"/>
  <c r="U108"/>
  <c r="V108"/>
  <c r="G108"/>
  <c r="X108"/>
  <c r="E108"/>
  <c r="Y108"/>
  <c r="Z108"/>
  <c r="N109"/>
  <c r="T109"/>
  <c r="U109"/>
  <c r="V109"/>
  <c r="G109"/>
  <c r="X109"/>
  <c r="E109"/>
  <c r="Y109"/>
  <c r="Z109"/>
  <c r="N110"/>
  <c r="T110"/>
  <c r="U110"/>
  <c r="G110"/>
  <c r="X110"/>
  <c r="E110"/>
  <c r="Y110"/>
  <c r="Z110"/>
  <c r="N111"/>
  <c r="T111"/>
  <c r="U111"/>
  <c r="G111"/>
  <c r="X111"/>
  <c r="E111"/>
  <c r="Y111"/>
  <c r="Z111"/>
  <c r="N112"/>
  <c r="T112"/>
  <c r="G112"/>
  <c r="X112"/>
  <c r="E112"/>
  <c r="Y112"/>
  <c r="Z112"/>
  <c r="Z91"/>
  <c r="C30" i="21"/>
  <c r="H30"/>
  <c r="T114" i="19"/>
  <c r="G114"/>
  <c r="X114"/>
  <c r="E114"/>
  <c r="Y114"/>
  <c r="Z114"/>
  <c r="T115"/>
  <c r="G115"/>
  <c r="X115"/>
  <c r="E115"/>
  <c r="Y115"/>
  <c r="Z115"/>
  <c r="F116"/>
  <c r="T116"/>
  <c r="G116"/>
  <c r="X116"/>
  <c r="E116"/>
  <c r="Y116"/>
  <c r="Z116"/>
  <c r="T117"/>
  <c r="G117"/>
  <c r="X117"/>
  <c r="E117"/>
  <c r="Y117"/>
  <c r="Z117"/>
  <c r="T118"/>
  <c r="G118"/>
  <c r="X118"/>
  <c r="E118"/>
  <c r="Y118"/>
  <c r="Z118"/>
  <c r="T119"/>
  <c r="G119"/>
  <c r="X119"/>
  <c r="E119"/>
  <c r="Y119"/>
  <c r="Z119"/>
  <c r="T120"/>
  <c r="G120"/>
  <c r="X120"/>
  <c r="E120"/>
  <c r="Y120"/>
  <c r="Z120"/>
  <c r="T121"/>
  <c r="G121"/>
  <c r="X121"/>
  <c r="E121"/>
  <c r="Y121"/>
  <c r="Z121"/>
  <c r="Z113"/>
  <c r="C31" i="21"/>
  <c r="H31"/>
  <c r="H29"/>
  <c r="H28"/>
  <c r="C24" i="22"/>
  <c r="E24"/>
  <c r="C41" i="21"/>
  <c r="H41"/>
  <c r="C26" i="22"/>
  <c r="E26"/>
  <c r="T247" i="19"/>
  <c r="U247"/>
  <c r="G247"/>
  <c r="X247"/>
  <c r="E247"/>
  <c r="Y247"/>
  <c r="Z247"/>
  <c r="T248"/>
  <c r="U248"/>
  <c r="G248"/>
  <c r="X248"/>
  <c r="E248"/>
  <c r="Y248"/>
  <c r="Z248"/>
  <c r="T249"/>
  <c r="U249"/>
  <c r="G249"/>
  <c r="X249"/>
  <c r="E249"/>
  <c r="Y249"/>
  <c r="Z249"/>
  <c r="Z246"/>
  <c r="C42" i="21"/>
  <c r="H42"/>
  <c r="C27" i="22"/>
  <c r="E27"/>
  <c r="T251" i="19"/>
  <c r="U251"/>
  <c r="G251"/>
  <c r="X251"/>
  <c r="E251"/>
  <c r="Y251"/>
  <c r="Z251"/>
  <c r="T252"/>
  <c r="U252"/>
  <c r="G252"/>
  <c r="X252"/>
  <c r="E252"/>
  <c r="Y252"/>
  <c r="Z252"/>
  <c r="T253"/>
  <c r="U253"/>
  <c r="G253"/>
  <c r="X253"/>
  <c r="E253"/>
  <c r="Y253"/>
  <c r="Z253"/>
  <c r="T254"/>
  <c r="U254"/>
  <c r="G254"/>
  <c r="X254"/>
  <c r="E254"/>
  <c r="Y254"/>
  <c r="Z254"/>
  <c r="Z250"/>
  <c r="C43" i="21"/>
  <c r="H43"/>
  <c r="C28" i="22"/>
  <c r="E28"/>
  <c r="T256" i="19"/>
  <c r="U256"/>
  <c r="G256"/>
  <c r="X256"/>
  <c r="E256"/>
  <c r="Y256"/>
  <c r="Z256"/>
  <c r="T257"/>
  <c r="U257"/>
  <c r="G257"/>
  <c r="X257"/>
  <c r="E257"/>
  <c r="Y257"/>
  <c r="Z257"/>
  <c r="T258"/>
  <c r="U258"/>
  <c r="G258"/>
  <c r="X258"/>
  <c r="E258"/>
  <c r="Y258"/>
  <c r="Z258"/>
  <c r="T259"/>
  <c r="U259"/>
  <c r="G259"/>
  <c r="X259"/>
  <c r="E259"/>
  <c r="Y259"/>
  <c r="Z259"/>
  <c r="Z255"/>
  <c r="C44" i="21"/>
  <c r="H44"/>
  <c r="C29" i="22"/>
  <c r="E29"/>
  <c r="T261" i="19"/>
  <c r="U261"/>
  <c r="G261"/>
  <c r="E261"/>
  <c r="Y261"/>
  <c r="Z261"/>
  <c r="T262"/>
  <c r="U262"/>
  <c r="G262"/>
  <c r="E262"/>
  <c r="Y262"/>
  <c r="Z262"/>
  <c r="T263"/>
  <c r="U263"/>
  <c r="G263"/>
  <c r="X263"/>
  <c r="E263"/>
  <c r="Y263"/>
  <c r="Z263"/>
  <c r="Z260"/>
  <c r="C45" i="21"/>
  <c r="H45"/>
  <c r="C30" i="22"/>
  <c r="E30"/>
  <c r="G265" i="19"/>
  <c r="E265"/>
  <c r="Y265"/>
  <c r="Z265"/>
  <c r="Z264"/>
  <c r="C46" i="21"/>
  <c r="H46"/>
  <c r="C31" i="22"/>
  <c r="E31"/>
  <c r="G267" i="19"/>
  <c r="E267"/>
  <c r="Y267"/>
  <c r="Z267"/>
  <c r="G268"/>
  <c r="X268"/>
  <c r="E268"/>
  <c r="Y268"/>
  <c r="Z268"/>
  <c r="G269"/>
  <c r="X269"/>
  <c r="E269"/>
  <c r="Y269"/>
  <c r="Z269"/>
  <c r="Z266"/>
  <c r="C47" i="21"/>
  <c r="H47"/>
  <c r="C32" i="22"/>
  <c r="E32"/>
  <c r="G271" i="19"/>
  <c r="E271"/>
  <c r="Y271"/>
  <c r="Z271"/>
  <c r="Z270"/>
  <c r="C48" i="21"/>
  <c r="H48"/>
  <c r="C33" i="22"/>
  <c r="E33"/>
  <c r="G280" i="19"/>
  <c r="E280"/>
  <c r="Y280"/>
  <c r="Z280"/>
  <c r="Z279"/>
  <c r="C49" i="21"/>
  <c r="H49"/>
  <c r="C34" i="22"/>
  <c r="E34"/>
  <c r="G273" i="19"/>
  <c r="E273"/>
  <c r="Y273"/>
  <c r="Z273"/>
  <c r="G274"/>
  <c r="X274"/>
  <c r="E274"/>
  <c r="Y274"/>
  <c r="Z274"/>
  <c r="Z272"/>
  <c r="C50" i="21"/>
  <c r="H50"/>
  <c r="C35" i="22"/>
  <c r="E35"/>
  <c r="J276" i="19"/>
  <c r="T276"/>
  <c r="G276"/>
  <c r="X276"/>
  <c r="E276"/>
  <c r="Y276"/>
  <c r="Z276"/>
  <c r="G277"/>
  <c r="X277"/>
  <c r="E277"/>
  <c r="Y277"/>
  <c r="Z277"/>
  <c r="G278"/>
  <c r="X278"/>
  <c r="E278"/>
  <c r="Y278"/>
  <c r="Z278"/>
  <c r="Z275"/>
  <c r="C51" i="21"/>
  <c r="H51"/>
  <c r="C36" i="22"/>
  <c r="E36"/>
  <c r="Q321" i="19"/>
  <c r="G321"/>
  <c r="X321"/>
  <c r="E321"/>
  <c r="Y321"/>
  <c r="Z321"/>
  <c r="G322"/>
  <c r="X322"/>
  <c r="E322"/>
  <c r="Y322"/>
  <c r="Z322"/>
  <c r="Z320"/>
  <c r="C54" i="21"/>
  <c r="H54"/>
  <c r="C37" i="22"/>
  <c r="E37"/>
  <c r="G332" i="19"/>
  <c r="X332"/>
  <c r="E332"/>
  <c r="Y332"/>
  <c r="Z332"/>
  <c r="G333"/>
  <c r="X333"/>
  <c r="E333"/>
  <c r="Y333"/>
  <c r="Z333"/>
  <c r="G334"/>
  <c r="X334"/>
  <c r="E334"/>
  <c r="Y334"/>
  <c r="Z334"/>
  <c r="G335"/>
  <c r="X335"/>
  <c r="E335"/>
  <c r="Y335"/>
  <c r="Z335"/>
  <c r="G336"/>
  <c r="X336"/>
  <c r="E336"/>
  <c r="Y336"/>
  <c r="Z336"/>
  <c r="Z331"/>
  <c r="G338"/>
  <c r="X338"/>
  <c r="E338"/>
  <c r="Y338"/>
  <c r="Z338"/>
  <c r="Z337"/>
  <c r="G340"/>
  <c r="X340"/>
  <c r="E340"/>
  <c r="Y340"/>
  <c r="Z340"/>
  <c r="G341"/>
  <c r="X341"/>
  <c r="E341"/>
  <c r="Y341"/>
  <c r="Z341"/>
  <c r="G342"/>
  <c r="X342"/>
  <c r="E342"/>
  <c r="Y342"/>
  <c r="Z342"/>
  <c r="Z339"/>
  <c r="Z330"/>
  <c r="C60" i="21"/>
  <c r="H60"/>
  <c r="C38" i="22"/>
  <c r="E38"/>
  <c r="E11"/>
  <c r="C39"/>
  <c r="D40"/>
  <c r="D39"/>
  <c r="E39"/>
  <c r="E41"/>
  <c r="D11"/>
  <c r="D41"/>
  <c r="C11"/>
  <c r="C41"/>
  <c r="E40"/>
  <c r="C25"/>
  <c r="E25"/>
  <c r="C22"/>
  <c r="E22"/>
  <c r="C12" i="20"/>
  <c r="E12"/>
  <c r="C13"/>
  <c r="E13"/>
  <c r="C14"/>
  <c r="E14"/>
  <c r="C15"/>
  <c r="E15"/>
  <c r="C16"/>
  <c r="E16"/>
  <c r="C17"/>
  <c r="E17"/>
  <c r="C18"/>
  <c r="E18"/>
  <c r="C19"/>
  <c r="E19"/>
  <c r="C20"/>
  <c r="E20"/>
  <c r="C21"/>
  <c r="E21"/>
  <c r="C23"/>
  <c r="E23"/>
  <c r="C24"/>
  <c r="E24"/>
  <c r="C26"/>
  <c r="E26"/>
  <c r="C27"/>
  <c r="E27"/>
  <c r="C28"/>
  <c r="E28"/>
  <c r="C29"/>
  <c r="E29"/>
  <c r="C30"/>
  <c r="E30"/>
  <c r="C31"/>
  <c r="E31"/>
  <c r="C32"/>
  <c r="E32"/>
  <c r="C33"/>
  <c r="E33"/>
  <c r="C34"/>
  <c r="E34"/>
  <c r="C35"/>
  <c r="E35"/>
  <c r="C36"/>
  <c r="E36"/>
  <c r="C37"/>
  <c r="E37"/>
  <c r="C38"/>
  <c r="E38"/>
  <c r="E11"/>
  <c r="C11"/>
  <c r="H16" i="21"/>
  <c r="H40"/>
  <c r="C53"/>
  <c r="H53"/>
  <c r="C55"/>
  <c r="H55"/>
  <c r="G324" i="19"/>
  <c r="X324"/>
  <c r="E324"/>
  <c r="Y324"/>
  <c r="Z324"/>
  <c r="G325"/>
  <c r="X325"/>
  <c r="E325"/>
  <c r="Y325"/>
  <c r="Z325"/>
  <c r="G326"/>
  <c r="X326"/>
  <c r="E326"/>
  <c r="Y326"/>
  <c r="Z326"/>
  <c r="G327"/>
  <c r="X327"/>
  <c r="E327"/>
  <c r="Y327"/>
  <c r="Z327"/>
  <c r="G328"/>
  <c r="X328"/>
  <c r="E328"/>
  <c r="Y328"/>
  <c r="Z328"/>
  <c r="G329"/>
  <c r="X329"/>
  <c r="E329"/>
  <c r="Y329"/>
  <c r="Z329"/>
  <c r="Z323"/>
  <c r="C58" i="21"/>
  <c r="H58"/>
  <c r="H57"/>
  <c r="C59"/>
  <c r="H59"/>
  <c r="H52"/>
  <c r="H15"/>
  <c r="L346" i="19"/>
  <c r="T346"/>
  <c r="G346"/>
  <c r="X346"/>
  <c r="E346"/>
  <c r="Y346"/>
  <c r="Z346"/>
  <c r="G347"/>
  <c r="E347"/>
  <c r="Y347"/>
  <c r="Z347"/>
  <c r="T348"/>
  <c r="G348"/>
  <c r="X348"/>
  <c r="E348"/>
  <c r="Y348"/>
  <c r="Z348"/>
  <c r="L349"/>
  <c r="T349"/>
  <c r="G349"/>
  <c r="X349"/>
  <c r="E349"/>
  <c r="Y349"/>
  <c r="Z349"/>
  <c r="T350"/>
  <c r="G350"/>
  <c r="X350"/>
  <c r="E350"/>
  <c r="Y350"/>
  <c r="Z350"/>
  <c r="T351"/>
  <c r="G351"/>
  <c r="X351"/>
  <c r="E351"/>
  <c r="Y351"/>
  <c r="Z351"/>
  <c r="T352"/>
  <c r="G352"/>
  <c r="X352"/>
  <c r="E352"/>
  <c r="Y352"/>
  <c r="Z352"/>
  <c r="T353"/>
  <c r="G353"/>
  <c r="X353"/>
  <c r="E353"/>
  <c r="Y353"/>
  <c r="Z353"/>
  <c r="L354"/>
  <c r="T354"/>
  <c r="G354"/>
  <c r="X354"/>
  <c r="E354"/>
  <c r="Y354"/>
  <c r="Z354"/>
  <c r="L355"/>
  <c r="T355"/>
  <c r="G355"/>
  <c r="X355"/>
  <c r="E355"/>
  <c r="Y355"/>
  <c r="Z355"/>
  <c r="G356"/>
  <c r="X356"/>
  <c r="E356"/>
  <c r="Y356"/>
  <c r="Z356"/>
  <c r="Z345"/>
  <c r="T358"/>
  <c r="G358"/>
  <c r="X358"/>
  <c r="E358"/>
  <c r="Y358"/>
  <c r="Z358"/>
  <c r="T359"/>
  <c r="G359"/>
  <c r="X359"/>
  <c r="E359"/>
  <c r="Y359"/>
  <c r="Z359"/>
  <c r="T360"/>
  <c r="G360"/>
  <c r="X360"/>
  <c r="E360"/>
  <c r="Y360"/>
  <c r="Z360"/>
  <c r="T361"/>
  <c r="G361"/>
  <c r="X361"/>
  <c r="E361"/>
  <c r="Y361"/>
  <c r="Z361"/>
  <c r="T362"/>
  <c r="G362"/>
  <c r="X362"/>
  <c r="E362"/>
  <c r="Y362"/>
  <c r="Z362"/>
  <c r="T363"/>
  <c r="G363"/>
  <c r="X363"/>
  <c r="E363"/>
  <c r="Y363"/>
  <c r="Z363"/>
  <c r="L364"/>
  <c r="T364"/>
  <c r="G364"/>
  <c r="X364"/>
  <c r="E364"/>
  <c r="Y364"/>
  <c r="Z364"/>
  <c r="T365"/>
  <c r="G365"/>
  <c r="X365"/>
  <c r="E365"/>
  <c r="Y365"/>
  <c r="Z365"/>
  <c r="T366"/>
  <c r="G366"/>
  <c r="X366"/>
  <c r="E366"/>
  <c r="Y366"/>
  <c r="Z366"/>
  <c r="T367"/>
  <c r="G367"/>
  <c r="X367"/>
  <c r="E367"/>
  <c r="Y367"/>
  <c r="Z367"/>
  <c r="Z357"/>
  <c r="G369"/>
  <c r="E369"/>
  <c r="Y369"/>
  <c r="Z369"/>
  <c r="G370"/>
  <c r="E370"/>
  <c r="Y370"/>
  <c r="Z370"/>
  <c r="Z368"/>
  <c r="G372"/>
  <c r="E372"/>
  <c r="Y372"/>
  <c r="Z372"/>
  <c r="F373"/>
  <c r="G373"/>
  <c r="E373"/>
  <c r="Y373"/>
  <c r="Z373"/>
  <c r="Z371"/>
  <c r="T375"/>
  <c r="G375"/>
  <c r="X375"/>
  <c r="E375"/>
  <c r="Y375"/>
  <c r="Z375"/>
  <c r="T376"/>
  <c r="G376"/>
  <c r="X376"/>
  <c r="E376"/>
  <c r="Y376"/>
  <c r="Z376"/>
  <c r="G377"/>
  <c r="X377"/>
  <c r="E377"/>
  <c r="Y377"/>
  <c r="Z377"/>
  <c r="T378"/>
  <c r="G378"/>
  <c r="X378"/>
  <c r="E378"/>
  <c r="Y378"/>
  <c r="Z378"/>
  <c r="T379"/>
  <c r="G379"/>
  <c r="X379"/>
  <c r="E379"/>
  <c r="Y379"/>
  <c r="Z379"/>
  <c r="T380"/>
  <c r="G380"/>
  <c r="X380"/>
  <c r="E380"/>
  <c r="Y380"/>
  <c r="Z380"/>
  <c r="T381"/>
  <c r="G381"/>
  <c r="X381"/>
  <c r="E381"/>
  <c r="Y381"/>
  <c r="Z381"/>
  <c r="T382"/>
  <c r="G382"/>
  <c r="X382"/>
  <c r="E382"/>
  <c r="Y382"/>
  <c r="Z382"/>
  <c r="T383"/>
  <c r="G383"/>
  <c r="X383"/>
  <c r="E383"/>
  <c r="Y383"/>
  <c r="Z383"/>
  <c r="T384"/>
  <c r="G384"/>
  <c r="X384"/>
  <c r="E384"/>
  <c r="Y384"/>
  <c r="Z384"/>
  <c r="T385"/>
  <c r="G385"/>
  <c r="X385"/>
  <c r="E385"/>
  <c r="Y385"/>
  <c r="Z385"/>
  <c r="Z374"/>
  <c r="T387"/>
  <c r="G387"/>
  <c r="X387"/>
  <c r="E387"/>
  <c r="Y387"/>
  <c r="Z387"/>
  <c r="T388"/>
  <c r="G388"/>
  <c r="X388"/>
  <c r="E388"/>
  <c r="Y388"/>
  <c r="Z388"/>
  <c r="T389"/>
  <c r="G389"/>
  <c r="X389"/>
  <c r="E389"/>
  <c r="Y389"/>
  <c r="Z389"/>
  <c r="T390"/>
  <c r="G390"/>
  <c r="X390"/>
  <c r="E390"/>
  <c r="Y390"/>
  <c r="Z390"/>
  <c r="T391"/>
  <c r="G391"/>
  <c r="X391"/>
  <c r="E391"/>
  <c r="Y391"/>
  <c r="Z391"/>
  <c r="T392"/>
  <c r="G392"/>
  <c r="X392"/>
  <c r="E392"/>
  <c r="Y392"/>
  <c r="Z392"/>
  <c r="T393"/>
  <c r="G393"/>
  <c r="X393"/>
  <c r="E393"/>
  <c r="Y393"/>
  <c r="Z393"/>
  <c r="T394"/>
  <c r="G394"/>
  <c r="X394"/>
  <c r="E394"/>
  <c r="Y394"/>
  <c r="Z394"/>
  <c r="T395"/>
  <c r="G395"/>
  <c r="X395"/>
  <c r="E395"/>
  <c r="Y395"/>
  <c r="Z395"/>
  <c r="T396"/>
  <c r="G396"/>
  <c r="X396"/>
  <c r="E396"/>
  <c r="Y396"/>
  <c r="Z396"/>
  <c r="T397"/>
  <c r="G397"/>
  <c r="X397"/>
  <c r="E397"/>
  <c r="Y397"/>
  <c r="Z397"/>
  <c r="T398"/>
  <c r="G398"/>
  <c r="X398"/>
  <c r="E398"/>
  <c r="Y398"/>
  <c r="Z398"/>
  <c r="T399"/>
  <c r="G399"/>
  <c r="X399"/>
  <c r="E399"/>
  <c r="Y399"/>
  <c r="Z399"/>
  <c r="T400"/>
  <c r="G400"/>
  <c r="X400"/>
  <c r="E400"/>
  <c r="Y400"/>
  <c r="Z400"/>
  <c r="T401"/>
  <c r="G401"/>
  <c r="X401"/>
  <c r="E401"/>
  <c r="Y401"/>
  <c r="Z401"/>
  <c r="T402"/>
  <c r="G402"/>
  <c r="X402"/>
  <c r="E402"/>
  <c r="Y402"/>
  <c r="Z402"/>
  <c r="T403"/>
  <c r="G403"/>
  <c r="X403"/>
  <c r="E403"/>
  <c r="Y403"/>
  <c r="Z403"/>
  <c r="T404"/>
  <c r="G404"/>
  <c r="X404"/>
  <c r="E404"/>
  <c r="Y404"/>
  <c r="Z404"/>
  <c r="T405"/>
  <c r="G405"/>
  <c r="X405"/>
  <c r="E405"/>
  <c r="Y405"/>
  <c r="Z405"/>
  <c r="T406"/>
  <c r="G406"/>
  <c r="X406"/>
  <c r="E406"/>
  <c r="Y406"/>
  <c r="Z406"/>
  <c r="T407"/>
  <c r="G407"/>
  <c r="X407"/>
  <c r="E407"/>
  <c r="Y407"/>
  <c r="Z407"/>
  <c r="T408"/>
  <c r="G408"/>
  <c r="X408"/>
  <c r="E408"/>
  <c r="Y408"/>
  <c r="Z408"/>
  <c r="T409"/>
  <c r="G409"/>
  <c r="X409"/>
  <c r="E409"/>
  <c r="Y409"/>
  <c r="Z409"/>
  <c r="T410"/>
  <c r="G410"/>
  <c r="X410"/>
  <c r="E410"/>
  <c r="Y410"/>
  <c r="Z410"/>
  <c r="T411"/>
  <c r="G411"/>
  <c r="X411"/>
  <c r="E411"/>
  <c r="Y411"/>
  <c r="Z411"/>
  <c r="T412"/>
  <c r="G412"/>
  <c r="X412"/>
  <c r="E412"/>
  <c r="Y412"/>
  <c r="Z412"/>
  <c r="T413"/>
  <c r="G413"/>
  <c r="X413"/>
  <c r="E413"/>
  <c r="Y413"/>
  <c r="Z413"/>
  <c r="T414"/>
  <c r="G414"/>
  <c r="X414"/>
  <c r="E414"/>
  <c r="Y414"/>
  <c r="Z414"/>
  <c r="Z386"/>
  <c r="Z344"/>
  <c r="C62" i="21"/>
  <c r="H62"/>
  <c r="T417" i="19"/>
  <c r="G417"/>
  <c r="X417"/>
  <c r="E417"/>
  <c r="Y417"/>
  <c r="Z417"/>
  <c r="L418"/>
  <c r="T418"/>
  <c r="G418"/>
  <c r="X418"/>
  <c r="E418"/>
  <c r="Y418"/>
  <c r="Z418"/>
  <c r="T419"/>
  <c r="G419"/>
  <c r="X419"/>
  <c r="E419"/>
  <c r="Y419"/>
  <c r="Z419"/>
  <c r="L420"/>
  <c r="T420"/>
  <c r="G420"/>
  <c r="X420"/>
  <c r="E420"/>
  <c r="Y420"/>
  <c r="Z420"/>
  <c r="T421"/>
  <c r="G421"/>
  <c r="X421"/>
  <c r="E421"/>
  <c r="Y421"/>
  <c r="Z421"/>
  <c r="T422"/>
  <c r="G422"/>
  <c r="X422"/>
  <c r="E422"/>
  <c r="Y422"/>
  <c r="Z422"/>
  <c r="T423"/>
  <c r="G423"/>
  <c r="X423"/>
  <c r="E423"/>
  <c r="Y423"/>
  <c r="Z423"/>
  <c r="R424"/>
  <c r="T424"/>
  <c r="G424"/>
  <c r="X424"/>
  <c r="E424"/>
  <c r="Y424"/>
  <c r="Z424"/>
  <c r="L425"/>
  <c r="R425"/>
  <c r="T425"/>
  <c r="G425"/>
  <c r="X425"/>
  <c r="E425"/>
  <c r="Y425"/>
  <c r="Z425"/>
  <c r="L426"/>
  <c r="T426"/>
  <c r="G426"/>
  <c r="X426"/>
  <c r="E426"/>
  <c r="Y426"/>
  <c r="Z426"/>
  <c r="T427"/>
  <c r="G427"/>
  <c r="X427"/>
  <c r="E427"/>
  <c r="Y427"/>
  <c r="Z427"/>
  <c r="Z416"/>
  <c r="T429"/>
  <c r="G429"/>
  <c r="X429"/>
  <c r="E429"/>
  <c r="Y429"/>
  <c r="Z429"/>
  <c r="T430"/>
  <c r="G430"/>
  <c r="X430"/>
  <c r="E430"/>
  <c r="Y430"/>
  <c r="Z430"/>
  <c r="T431"/>
  <c r="G431"/>
  <c r="X431"/>
  <c r="E431"/>
  <c r="Y431"/>
  <c r="Z431"/>
  <c r="L432"/>
  <c r="T432"/>
  <c r="G432"/>
  <c r="X432"/>
  <c r="E432"/>
  <c r="Y432"/>
  <c r="Z432"/>
  <c r="R433"/>
  <c r="T433"/>
  <c r="G433"/>
  <c r="X433"/>
  <c r="E433"/>
  <c r="Y433"/>
  <c r="Z433"/>
  <c r="T434"/>
  <c r="G434"/>
  <c r="X434"/>
  <c r="E434"/>
  <c r="Y434"/>
  <c r="Z434"/>
  <c r="Z428"/>
  <c r="F435"/>
  <c r="T435"/>
  <c r="G435"/>
  <c r="X435"/>
  <c r="E435"/>
  <c r="Y435"/>
  <c r="Z435"/>
  <c r="T438"/>
  <c r="G438"/>
  <c r="X438"/>
  <c r="E438"/>
  <c r="Y438"/>
  <c r="Z438"/>
  <c r="T439"/>
  <c r="G439"/>
  <c r="X439"/>
  <c r="E439"/>
  <c r="Y439"/>
  <c r="Z439"/>
  <c r="T440"/>
  <c r="G440"/>
  <c r="X440"/>
  <c r="E440"/>
  <c r="Y440"/>
  <c r="Z440"/>
  <c r="T441"/>
  <c r="G441"/>
  <c r="X441"/>
  <c r="E441"/>
  <c r="Y441"/>
  <c r="Z441"/>
  <c r="T442"/>
  <c r="G442"/>
  <c r="X442"/>
  <c r="E442"/>
  <c r="Y442"/>
  <c r="Z442"/>
  <c r="T443"/>
  <c r="G443"/>
  <c r="X443"/>
  <c r="E443"/>
  <c r="Y443"/>
  <c r="Z443"/>
  <c r="T444"/>
  <c r="G444"/>
  <c r="X444"/>
  <c r="E444"/>
  <c r="Y444"/>
  <c r="Z444"/>
  <c r="T445"/>
  <c r="G445"/>
  <c r="X445"/>
  <c r="E445"/>
  <c r="Y445"/>
  <c r="Z445"/>
  <c r="T446"/>
  <c r="G446"/>
  <c r="X446"/>
  <c r="E446"/>
  <c r="Y446"/>
  <c r="Z446"/>
  <c r="Z437"/>
  <c r="T448"/>
  <c r="G448"/>
  <c r="X448"/>
  <c r="E448"/>
  <c r="Y448"/>
  <c r="Z448"/>
  <c r="T449"/>
  <c r="G449"/>
  <c r="X449"/>
  <c r="E449"/>
  <c r="Y449"/>
  <c r="Z449"/>
  <c r="T450"/>
  <c r="G450"/>
  <c r="X450"/>
  <c r="E450"/>
  <c r="Y450"/>
  <c r="Z450"/>
  <c r="T451"/>
  <c r="G451"/>
  <c r="X451"/>
  <c r="E451"/>
  <c r="Y451"/>
  <c r="Z451"/>
  <c r="T452"/>
  <c r="G452"/>
  <c r="X452"/>
  <c r="E452"/>
  <c r="Y452"/>
  <c r="Z452"/>
  <c r="T453"/>
  <c r="G453"/>
  <c r="X453"/>
  <c r="E453"/>
  <c r="Y453"/>
  <c r="Z453"/>
  <c r="T454"/>
  <c r="G454"/>
  <c r="X454"/>
  <c r="E454"/>
  <c r="Y454"/>
  <c r="Z454"/>
  <c r="T455"/>
  <c r="G455"/>
  <c r="X455"/>
  <c r="E455"/>
  <c r="Y455"/>
  <c r="Z455"/>
  <c r="T456"/>
  <c r="G456"/>
  <c r="X456"/>
  <c r="E456"/>
  <c r="Y456"/>
  <c r="Z456"/>
  <c r="T457"/>
  <c r="G457"/>
  <c r="X457"/>
  <c r="E457"/>
  <c r="Y457"/>
  <c r="Z457"/>
  <c r="T458"/>
  <c r="G458"/>
  <c r="X458"/>
  <c r="E458"/>
  <c r="Y458"/>
  <c r="Z458"/>
  <c r="T459"/>
  <c r="G459"/>
  <c r="X459"/>
  <c r="E459"/>
  <c r="Y459"/>
  <c r="Z459"/>
  <c r="T460"/>
  <c r="G460"/>
  <c r="X460"/>
  <c r="E460"/>
  <c r="Y460"/>
  <c r="Z460"/>
  <c r="T461"/>
  <c r="G461"/>
  <c r="X461"/>
  <c r="E461"/>
  <c r="Y461"/>
  <c r="Z461"/>
  <c r="T462"/>
  <c r="G462"/>
  <c r="X462"/>
  <c r="E462"/>
  <c r="Y462"/>
  <c r="Z462"/>
  <c r="T463"/>
  <c r="G463"/>
  <c r="X463"/>
  <c r="E463"/>
  <c r="Y463"/>
  <c r="Z463"/>
  <c r="T464"/>
  <c r="G464"/>
  <c r="X464"/>
  <c r="E464"/>
  <c r="Y464"/>
  <c r="Z464"/>
  <c r="T465"/>
  <c r="G465"/>
  <c r="X465"/>
  <c r="E465"/>
  <c r="Y465"/>
  <c r="Z465"/>
  <c r="T466"/>
  <c r="G466"/>
  <c r="X466"/>
  <c r="E466"/>
  <c r="Y466"/>
  <c r="Z466"/>
  <c r="T467"/>
  <c r="G467"/>
  <c r="X467"/>
  <c r="E467"/>
  <c r="Y467"/>
  <c r="Z467"/>
  <c r="T468"/>
  <c r="G468"/>
  <c r="X468"/>
  <c r="E468"/>
  <c r="Y468"/>
  <c r="Z468"/>
  <c r="T469"/>
  <c r="G469"/>
  <c r="X469"/>
  <c r="E469"/>
  <c r="Y469"/>
  <c r="Z469"/>
  <c r="T470"/>
  <c r="G470"/>
  <c r="X470"/>
  <c r="E470"/>
  <c r="Y470"/>
  <c r="Z470"/>
  <c r="T471"/>
  <c r="G471"/>
  <c r="X471"/>
  <c r="E471"/>
  <c r="Y471"/>
  <c r="Z471"/>
  <c r="T472"/>
  <c r="G472"/>
  <c r="X472"/>
  <c r="E472"/>
  <c r="Y472"/>
  <c r="Z472"/>
  <c r="T473"/>
  <c r="G473"/>
  <c r="X473"/>
  <c r="E473"/>
  <c r="Y473"/>
  <c r="Z473"/>
  <c r="T474"/>
  <c r="G474"/>
  <c r="X474"/>
  <c r="E474"/>
  <c r="Y474"/>
  <c r="Z474"/>
  <c r="Z447"/>
  <c r="G476"/>
  <c r="E476"/>
  <c r="Y476"/>
  <c r="Z476"/>
  <c r="F477"/>
  <c r="G477"/>
  <c r="E477"/>
  <c r="Y477"/>
  <c r="Z477"/>
  <c r="Z475"/>
  <c r="Z415"/>
  <c r="C63" i="21"/>
  <c r="H63"/>
  <c r="L483" i="19"/>
  <c r="T483"/>
  <c r="G483"/>
  <c r="X483"/>
  <c r="E483"/>
  <c r="Y483"/>
  <c r="Z483"/>
  <c r="T484"/>
  <c r="G484"/>
  <c r="X484"/>
  <c r="E484"/>
  <c r="Y484"/>
  <c r="Z484"/>
  <c r="T485"/>
  <c r="G485"/>
  <c r="X485"/>
  <c r="E485"/>
  <c r="Y485"/>
  <c r="Z485"/>
  <c r="T486"/>
  <c r="G486"/>
  <c r="X486"/>
  <c r="E486"/>
  <c r="Y486"/>
  <c r="Z486"/>
  <c r="T487"/>
  <c r="G487"/>
  <c r="X487"/>
  <c r="E487"/>
  <c r="Y487"/>
  <c r="Z487"/>
  <c r="L488"/>
  <c r="T488"/>
  <c r="G488"/>
  <c r="X488"/>
  <c r="E488"/>
  <c r="Y488"/>
  <c r="Z488"/>
  <c r="T489"/>
  <c r="G489"/>
  <c r="X489"/>
  <c r="E489"/>
  <c r="Y489"/>
  <c r="Z489"/>
  <c r="L490"/>
  <c r="T490"/>
  <c r="G490"/>
  <c r="X490"/>
  <c r="E490"/>
  <c r="Y490"/>
  <c r="Z490"/>
  <c r="T491"/>
  <c r="G491"/>
  <c r="X491"/>
  <c r="E491"/>
  <c r="Y491"/>
  <c r="Z491"/>
  <c r="T492"/>
  <c r="G492"/>
  <c r="X492"/>
  <c r="E492"/>
  <c r="Y492"/>
  <c r="Z492"/>
  <c r="Z482"/>
  <c r="T494"/>
  <c r="G494"/>
  <c r="X494"/>
  <c r="E494"/>
  <c r="Y494"/>
  <c r="Z494"/>
  <c r="T495"/>
  <c r="G495"/>
  <c r="X495"/>
  <c r="E495"/>
  <c r="Y495"/>
  <c r="Z495"/>
  <c r="T496"/>
  <c r="G496"/>
  <c r="X496"/>
  <c r="E496"/>
  <c r="Y496"/>
  <c r="Z496"/>
  <c r="T497"/>
  <c r="G497"/>
  <c r="X497"/>
  <c r="E497"/>
  <c r="Y497"/>
  <c r="Z497"/>
  <c r="T498"/>
  <c r="G498"/>
  <c r="X498"/>
  <c r="E498"/>
  <c r="Y498"/>
  <c r="Z498"/>
  <c r="T499"/>
  <c r="G499"/>
  <c r="X499"/>
  <c r="E499"/>
  <c r="Y499"/>
  <c r="Z499"/>
  <c r="Z493"/>
  <c r="G501"/>
  <c r="E501"/>
  <c r="Y501"/>
  <c r="Z501"/>
  <c r="F502"/>
  <c r="G502"/>
  <c r="E502"/>
  <c r="Y502"/>
  <c r="Z502"/>
  <c r="Z500"/>
  <c r="T504"/>
  <c r="G504"/>
  <c r="X504"/>
  <c r="E504"/>
  <c r="T505"/>
  <c r="G505"/>
  <c r="X505"/>
  <c r="E505"/>
  <c r="T506"/>
  <c r="G506"/>
  <c r="X506"/>
  <c r="E506"/>
  <c r="T507"/>
  <c r="G507"/>
  <c r="X507"/>
  <c r="E507"/>
  <c r="T508"/>
  <c r="G508"/>
  <c r="X508"/>
  <c r="E508"/>
  <c r="T509"/>
  <c r="G509"/>
  <c r="X509"/>
  <c r="E509"/>
  <c r="T510"/>
  <c r="G510"/>
  <c r="X510"/>
  <c r="E510"/>
  <c r="T511"/>
  <c r="G511"/>
  <c r="X511"/>
  <c r="E511"/>
  <c r="T512"/>
  <c r="G512"/>
  <c r="X512"/>
  <c r="E512"/>
  <c r="T513"/>
  <c r="G513"/>
  <c r="X513"/>
  <c r="E513"/>
  <c r="T514"/>
  <c r="G514"/>
  <c r="X514"/>
  <c r="E514"/>
  <c r="T515"/>
  <c r="G515"/>
  <c r="X515"/>
  <c r="E515"/>
  <c r="T516"/>
  <c r="G516"/>
  <c r="X516"/>
  <c r="E516"/>
  <c r="T517"/>
  <c r="G517"/>
  <c r="X517"/>
  <c r="E517"/>
  <c r="T518"/>
  <c r="G518"/>
  <c r="X518"/>
  <c r="E518"/>
  <c r="T519"/>
  <c r="G519"/>
  <c r="X519"/>
  <c r="E519"/>
  <c r="T520"/>
  <c r="G520"/>
  <c r="X520"/>
  <c r="E520"/>
  <c r="T521"/>
  <c r="G521"/>
  <c r="X521"/>
  <c r="E521"/>
  <c r="T522"/>
  <c r="G522"/>
  <c r="X522"/>
  <c r="E522"/>
  <c r="T523"/>
  <c r="G523"/>
  <c r="X523"/>
  <c r="E523"/>
  <c r="E503"/>
  <c r="Y503"/>
  <c r="Z503"/>
  <c r="T525"/>
  <c r="G525"/>
  <c r="X525"/>
  <c r="E525"/>
  <c r="Y525"/>
  <c r="Z525"/>
  <c r="T526"/>
  <c r="G526"/>
  <c r="X526"/>
  <c r="E526"/>
  <c r="Y526"/>
  <c r="Z526"/>
  <c r="T527"/>
  <c r="G527"/>
  <c r="X527"/>
  <c r="E527"/>
  <c r="Y527"/>
  <c r="Z527"/>
  <c r="T528"/>
  <c r="G528"/>
  <c r="X528"/>
  <c r="E528"/>
  <c r="Y528"/>
  <c r="Z528"/>
  <c r="T529"/>
  <c r="G529"/>
  <c r="X529"/>
  <c r="E529"/>
  <c r="Y529"/>
  <c r="Z529"/>
  <c r="T530"/>
  <c r="G530"/>
  <c r="X530"/>
  <c r="E530"/>
  <c r="Y530"/>
  <c r="Z530"/>
  <c r="T531"/>
  <c r="G531"/>
  <c r="X531"/>
  <c r="E531"/>
  <c r="Y531"/>
  <c r="Z531"/>
  <c r="T532"/>
  <c r="G532"/>
  <c r="X532"/>
  <c r="E532"/>
  <c r="Y532"/>
  <c r="Z532"/>
  <c r="T533"/>
  <c r="G533"/>
  <c r="X533"/>
  <c r="E533"/>
  <c r="Y533"/>
  <c r="Z533"/>
  <c r="T534"/>
  <c r="G534"/>
  <c r="X534"/>
  <c r="E534"/>
  <c r="Y534"/>
  <c r="Z534"/>
  <c r="T535"/>
  <c r="G535"/>
  <c r="X535"/>
  <c r="E535"/>
  <c r="Y535"/>
  <c r="Z535"/>
  <c r="T536"/>
  <c r="G536"/>
  <c r="X536"/>
  <c r="E536"/>
  <c r="Y536"/>
  <c r="Z536"/>
  <c r="T537"/>
  <c r="G537"/>
  <c r="X537"/>
  <c r="E537"/>
  <c r="Y537"/>
  <c r="Z537"/>
  <c r="Z524"/>
  <c r="Z481"/>
  <c r="C64" i="21"/>
  <c r="H64"/>
  <c r="T540" i="19"/>
  <c r="G540"/>
  <c r="X540"/>
  <c r="E540"/>
  <c r="Y540"/>
  <c r="Z540"/>
  <c r="T541"/>
  <c r="G541"/>
  <c r="X541"/>
  <c r="E541"/>
  <c r="Y541"/>
  <c r="Z541"/>
  <c r="T542"/>
  <c r="G542"/>
  <c r="X542"/>
  <c r="E542"/>
  <c r="Y542"/>
  <c r="Z542"/>
  <c r="L543"/>
  <c r="T543"/>
  <c r="G543"/>
  <c r="X543"/>
  <c r="E543"/>
  <c r="Y543"/>
  <c r="Z543"/>
  <c r="L544"/>
  <c r="T544"/>
  <c r="G544"/>
  <c r="X544"/>
  <c r="E544"/>
  <c r="Y544"/>
  <c r="Z544"/>
  <c r="L545"/>
  <c r="T545"/>
  <c r="G545"/>
  <c r="X545"/>
  <c r="E545"/>
  <c r="Y545"/>
  <c r="Z545"/>
  <c r="T546"/>
  <c r="G546"/>
  <c r="X546"/>
  <c r="E546"/>
  <c r="Y546"/>
  <c r="Z546"/>
  <c r="L547"/>
  <c r="T547"/>
  <c r="G547"/>
  <c r="X547"/>
  <c r="E547"/>
  <c r="Y547"/>
  <c r="Z547"/>
  <c r="Z539"/>
  <c r="T549"/>
  <c r="G549"/>
  <c r="X549"/>
  <c r="E549"/>
  <c r="Y549"/>
  <c r="Z549"/>
  <c r="T550"/>
  <c r="G550"/>
  <c r="X550"/>
  <c r="E550"/>
  <c r="Y550"/>
  <c r="Z550"/>
  <c r="T551"/>
  <c r="G551"/>
  <c r="X551"/>
  <c r="E551"/>
  <c r="Y551"/>
  <c r="Z551"/>
  <c r="T552"/>
  <c r="G552"/>
  <c r="X552"/>
  <c r="E552"/>
  <c r="Y552"/>
  <c r="Z552"/>
  <c r="T553"/>
  <c r="G553"/>
  <c r="X553"/>
  <c r="E553"/>
  <c r="Y553"/>
  <c r="Z553"/>
  <c r="T554"/>
  <c r="G554"/>
  <c r="X554"/>
  <c r="E554"/>
  <c r="Y554"/>
  <c r="Z554"/>
  <c r="T555"/>
  <c r="G555"/>
  <c r="X555"/>
  <c r="E555"/>
  <c r="Y555"/>
  <c r="Z555"/>
  <c r="T556"/>
  <c r="G556"/>
  <c r="X556"/>
  <c r="E556"/>
  <c r="Y556"/>
  <c r="Z556"/>
  <c r="T557"/>
  <c r="G557"/>
  <c r="X557"/>
  <c r="E557"/>
  <c r="Y557"/>
  <c r="Z557"/>
  <c r="T558"/>
  <c r="G558"/>
  <c r="X558"/>
  <c r="E558"/>
  <c r="Y558"/>
  <c r="Z558"/>
  <c r="Z548"/>
  <c r="G560"/>
  <c r="E560"/>
  <c r="Y560"/>
  <c r="Z560"/>
  <c r="F561"/>
  <c r="G561"/>
  <c r="E561"/>
  <c r="Y561"/>
  <c r="Z561"/>
  <c r="Z559"/>
  <c r="T563"/>
  <c r="G563"/>
  <c r="X563"/>
  <c r="E563"/>
  <c r="Y563"/>
  <c r="Z563"/>
  <c r="T564"/>
  <c r="G564"/>
  <c r="X564"/>
  <c r="E564"/>
  <c r="Y564"/>
  <c r="Z564"/>
  <c r="T565"/>
  <c r="G565"/>
  <c r="X565"/>
  <c r="E565"/>
  <c r="Y565"/>
  <c r="Z565"/>
  <c r="T566"/>
  <c r="G566"/>
  <c r="X566"/>
  <c r="E566"/>
  <c r="Y566"/>
  <c r="Z566"/>
  <c r="T567"/>
  <c r="G567"/>
  <c r="X567"/>
  <c r="E567"/>
  <c r="Y567"/>
  <c r="Z567"/>
  <c r="T568"/>
  <c r="G568"/>
  <c r="X568"/>
  <c r="E568"/>
  <c r="Y568"/>
  <c r="Z568"/>
  <c r="T569"/>
  <c r="G569"/>
  <c r="X569"/>
  <c r="E569"/>
  <c r="Y569"/>
  <c r="Z569"/>
  <c r="T570"/>
  <c r="G570"/>
  <c r="X570"/>
  <c r="E570"/>
  <c r="Y570"/>
  <c r="Z570"/>
  <c r="T571"/>
  <c r="G571"/>
  <c r="X571"/>
  <c r="E571"/>
  <c r="Y571"/>
  <c r="Z571"/>
  <c r="T572"/>
  <c r="G572"/>
  <c r="X572"/>
  <c r="E572"/>
  <c r="Y572"/>
  <c r="Z572"/>
  <c r="T573"/>
  <c r="G573"/>
  <c r="X573"/>
  <c r="E573"/>
  <c r="Y573"/>
  <c r="Z573"/>
  <c r="Z562"/>
  <c r="T575"/>
  <c r="G575"/>
  <c r="X575"/>
  <c r="E575"/>
  <c r="Y575"/>
  <c r="Z575"/>
  <c r="T576"/>
  <c r="G576"/>
  <c r="X576"/>
  <c r="E576"/>
  <c r="Y576"/>
  <c r="Z576"/>
  <c r="T577"/>
  <c r="G577"/>
  <c r="X577"/>
  <c r="E577"/>
  <c r="Y577"/>
  <c r="Z577"/>
  <c r="T578"/>
  <c r="G578"/>
  <c r="X578"/>
  <c r="E578"/>
  <c r="Y578"/>
  <c r="Z578"/>
  <c r="T579"/>
  <c r="G579"/>
  <c r="X579"/>
  <c r="E579"/>
  <c r="Y579"/>
  <c r="Z579"/>
  <c r="T580"/>
  <c r="G580"/>
  <c r="X580"/>
  <c r="E580"/>
  <c r="Y580"/>
  <c r="Z580"/>
  <c r="T581"/>
  <c r="G581"/>
  <c r="X581"/>
  <c r="E581"/>
  <c r="Y581"/>
  <c r="Z581"/>
  <c r="T582"/>
  <c r="G582"/>
  <c r="X582"/>
  <c r="E582"/>
  <c r="Y582"/>
  <c r="Z582"/>
  <c r="T583"/>
  <c r="G583"/>
  <c r="X583"/>
  <c r="E583"/>
  <c r="Y583"/>
  <c r="Z583"/>
  <c r="T584"/>
  <c r="G584"/>
  <c r="X584"/>
  <c r="E584"/>
  <c r="Y584"/>
  <c r="Z584"/>
  <c r="T585"/>
  <c r="G585"/>
  <c r="X585"/>
  <c r="E585"/>
  <c r="Y585"/>
  <c r="Z585"/>
  <c r="T586"/>
  <c r="G586"/>
  <c r="X586"/>
  <c r="E586"/>
  <c r="Y586"/>
  <c r="Z586"/>
  <c r="T587"/>
  <c r="G587"/>
  <c r="X587"/>
  <c r="E587"/>
  <c r="Y587"/>
  <c r="Z587"/>
  <c r="T588"/>
  <c r="G588"/>
  <c r="X588"/>
  <c r="E588"/>
  <c r="Y588"/>
  <c r="Z588"/>
  <c r="T589"/>
  <c r="G589"/>
  <c r="X589"/>
  <c r="E589"/>
  <c r="Y589"/>
  <c r="Z589"/>
  <c r="T590"/>
  <c r="G590"/>
  <c r="X590"/>
  <c r="E590"/>
  <c r="Y590"/>
  <c r="Z590"/>
  <c r="T591"/>
  <c r="G591"/>
  <c r="X591"/>
  <c r="E591"/>
  <c r="Y591"/>
  <c r="Z591"/>
  <c r="T592"/>
  <c r="G592"/>
  <c r="X592"/>
  <c r="E592"/>
  <c r="Y592"/>
  <c r="Z592"/>
  <c r="T593"/>
  <c r="G593"/>
  <c r="X593"/>
  <c r="E593"/>
  <c r="Y593"/>
  <c r="Z593"/>
  <c r="T594"/>
  <c r="G594"/>
  <c r="X594"/>
  <c r="E594"/>
  <c r="Y594"/>
  <c r="Z594"/>
  <c r="T595"/>
  <c r="G595"/>
  <c r="X595"/>
  <c r="E595"/>
  <c r="Y595"/>
  <c r="Z595"/>
  <c r="T596"/>
  <c r="G596"/>
  <c r="X596"/>
  <c r="E596"/>
  <c r="Y596"/>
  <c r="Z596"/>
  <c r="T597"/>
  <c r="G597"/>
  <c r="X597"/>
  <c r="E597"/>
  <c r="Y597"/>
  <c r="Z597"/>
  <c r="T598"/>
  <c r="G598"/>
  <c r="X598"/>
  <c r="E598"/>
  <c r="Y598"/>
  <c r="Z598"/>
  <c r="T599"/>
  <c r="G599"/>
  <c r="X599"/>
  <c r="E599"/>
  <c r="Y599"/>
  <c r="Z599"/>
  <c r="Z574"/>
  <c r="Z538"/>
  <c r="C65" i="21"/>
  <c r="H65"/>
  <c r="L602" i="19"/>
  <c r="T602"/>
  <c r="G602"/>
  <c r="X602"/>
  <c r="E602"/>
  <c r="Y602"/>
  <c r="Z602"/>
  <c r="T603"/>
  <c r="G603"/>
  <c r="X603"/>
  <c r="E603"/>
  <c r="Y603"/>
  <c r="Z603"/>
  <c r="T604"/>
  <c r="G604"/>
  <c r="X604"/>
  <c r="E604"/>
  <c r="Y604"/>
  <c r="Z604"/>
  <c r="T605"/>
  <c r="G605"/>
  <c r="X605"/>
  <c r="E605"/>
  <c r="Y605"/>
  <c r="Z605"/>
  <c r="T606"/>
  <c r="G606"/>
  <c r="X606"/>
  <c r="E606"/>
  <c r="Y606"/>
  <c r="Z606"/>
  <c r="L607"/>
  <c r="T607"/>
  <c r="G607"/>
  <c r="X607"/>
  <c r="E607"/>
  <c r="Y607"/>
  <c r="Z607"/>
  <c r="T608"/>
  <c r="G608"/>
  <c r="X608"/>
  <c r="E608"/>
  <c r="Y608"/>
  <c r="Z608"/>
  <c r="T609"/>
  <c r="G609"/>
  <c r="X609"/>
  <c r="E609"/>
  <c r="Y609"/>
  <c r="Z609"/>
  <c r="L610"/>
  <c r="T610"/>
  <c r="G610"/>
  <c r="X610"/>
  <c r="E610"/>
  <c r="Y610"/>
  <c r="Z610"/>
  <c r="Z601"/>
  <c r="T612"/>
  <c r="G612"/>
  <c r="X612"/>
  <c r="E612"/>
  <c r="Y612"/>
  <c r="Z612"/>
  <c r="T613"/>
  <c r="G613"/>
  <c r="X613"/>
  <c r="E613"/>
  <c r="Y613"/>
  <c r="Z613"/>
  <c r="T614"/>
  <c r="G614"/>
  <c r="X614"/>
  <c r="E614"/>
  <c r="Y614"/>
  <c r="Z614"/>
  <c r="T615"/>
  <c r="G615"/>
  <c r="X615"/>
  <c r="E615"/>
  <c r="Y615"/>
  <c r="Z615"/>
  <c r="T616"/>
  <c r="G616"/>
  <c r="X616"/>
  <c r="E616"/>
  <c r="Y616"/>
  <c r="Z616"/>
  <c r="T617"/>
  <c r="G617"/>
  <c r="X617"/>
  <c r="E617"/>
  <c r="Y617"/>
  <c r="Z617"/>
  <c r="Z611"/>
  <c r="G619"/>
  <c r="E619"/>
  <c r="Y619"/>
  <c r="Z619"/>
  <c r="F620"/>
  <c r="G620"/>
  <c r="E620"/>
  <c r="Y620"/>
  <c r="Z620"/>
  <c r="Z618"/>
  <c r="T622"/>
  <c r="G622"/>
  <c r="X622"/>
  <c r="E622"/>
  <c r="T623"/>
  <c r="G623"/>
  <c r="X623"/>
  <c r="E623"/>
  <c r="T624"/>
  <c r="G624"/>
  <c r="X624"/>
  <c r="E624"/>
  <c r="T625"/>
  <c r="G625"/>
  <c r="X625"/>
  <c r="E625"/>
  <c r="T626"/>
  <c r="G626"/>
  <c r="X626"/>
  <c r="E626"/>
  <c r="T627"/>
  <c r="G627"/>
  <c r="X627"/>
  <c r="E627"/>
  <c r="T628"/>
  <c r="G628"/>
  <c r="X628"/>
  <c r="E628"/>
  <c r="T629"/>
  <c r="G629"/>
  <c r="X629"/>
  <c r="E629"/>
  <c r="E621"/>
  <c r="Y621"/>
  <c r="Z621"/>
  <c r="T631"/>
  <c r="G631"/>
  <c r="X631"/>
  <c r="E631"/>
  <c r="Y631"/>
  <c r="Z631"/>
  <c r="T632"/>
  <c r="G632"/>
  <c r="X632"/>
  <c r="E632"/>
  <c r="Y632"/>
  <c r="Z632"/>
  <c r="T633"/>
  <c r="G633"/>
  <c r="X633"/>
  <c r="E633"/>
  <c r="Y633"/>
  <c r="Z633"/>
  <c r="T634"/>
  <c r="G634"/>
  <c r="X634"/>
  <c r="E634"/>
  <c r="Y634"/>
  <c r="Z634"/>
  <c r="T635"/>
  <c r="G635"/>
  <c r="X635"/>
  <c r="E635"/>
  <c r="Y635"/>
  <c r="Z635"/>
  <c r="T636"/>
  <c r="G636"/>
  <c r="X636"/>
  <c r="E636"/>
  <c r="Y636"/>
  <c r="Z636"/>
  <c r="T637"/>
  <c r="G637"/>
  <c r="X637"/>
  <c r="E637"/>
  <c r="Y637"/>
  <c r="Z637"/>
  <c r="T638"/>
  <c r="G638"/>
  <c r="X638"/>
  <c r="E638"/>
  <c r="Y638"/>
  <c r="Z638"/>
  <c r="T639"/>
  <c r="G639"/>
  <c r="X639"/>
  <c r="E639"/>
  <c r="Y639"/>
  <c r="Z639"/>
  <c r="T640"/>
  <c r="G640"/>
  <c r="X640"/>
  <c r="E640"/>
  <c r="Y640"/>
  <c r="Z640"/>
  <c r="T641"/>
  <c r="G641"/>
  <c r="X641"/>
  <c r="E641"/>
  <c r="Y641"/>
  <c r="Z641"/>
  <c r="T642"/>
  <c r="G642"/>
  <c r="X642"/>
  <c r="E642"/>
  <c r="Y642"/>
  <c r="Z642"/>
  <c r="T643"/>
  <c r="G643"/>
  <c r="X643"/>
  <c r="E643"/>
  <c r="Y643"/>
  <c r="Z643"/>
  <c r="T644"/>
  <c r="G644"/>
  <c r="X644"/>
  <c r="E644"/>
  <c r="Y644"/>
  <c r="Z644"/>
  <c r="T645"/>
  <c r="G645"/>
  <c r="X645"/>
  <c r="E645"/>
  <c r="Y645"/>
  <c r="Z645"/>
  <c r="L646"/>
  <c r="T646"/>
  <c r="G646"/>
  <c r="X646"/>
  <c r="E646"/>
  <c r="Y646"/>
  <c r="Z646"/>
  <c r="T647"/>
  <c r="G647"/>
  <c r="X647"/>
  <c r="E647"/>
  <c r="Y647"/>
  <c r="Z647"/>
  <c r="T648"/>
  <c r="G648"/>
  <c r="X648"/>
  <c r="E648"/>
  <c r="Y648"/>
  <c r="Z648"/>
  <c r="T649"/>
  <c r="G649"/>
  <c r="X649"/>
  <c r="E649"/>
  <c r="Y649"/>
  <c r="Z649"/>
  <c r="L650"/>
  <c r="T650"/>
  <c r="G650"/>
  <c r="X650"/>
  <c r="E650"/>
  <c r="Y650"/>
  <c r="Z650"/>
  <c r="T651"/>
  <c r="G651"/>
  <c r="X651"/>
  <c r="E651"/>
  <c r="Y651"/>
  <c r="Z651"/>
  <c r="T652"/>
  <c r="G652"/>
  <c r="X652"/>
  <c r="E652"/>
  <c r="Y652"/>
  <c r="Z652"/>
  <c r="T653"/>
  <c r="G653"/>
  <c r="X653"/>
  <c r="E653"/>
  <c r="Y653"/>
  <c r="Z653"/>
  <c r="T654"/>
  <c r="G654"/>
  <c r="X654"/>
  <c r="E654"/>
  <c r="Y654"/>
  <c r="Z654"/>
  <c r="T655"/>
  <c r="G655"/>
  <c r="X655"/>
  <c r="E655"/>
  <c r="Y655"/>
  <c r="Z655"/>
  <c r="T656"/>
  <c r="G656"/>
  <c r="X656"/>
  <c r="E656"/>
  <c r="Y656"/>
  <c r="Z656"/>
  <c r="T657"/>
  <c r="G657"/>
  <c r="X657"/>
  <c r="E657"/>
  <c r="Y657"/>
  <c r="Z657"/>
  <c r="Z630"/>
  <c r="Z600"/>
  <c r="C66" i="21"/>
  <c r="H66"/>
  <c r="T660" i="19"/>
  <c r="G660"/>
  <c r="X660"/>
  <c r="E660"/>
  <c r="Y660"/>
  <c r="Z660"/>
  <c r="L661"/>
  <c r="T661"/>
  <c r="G661"/>
  <c r="X661"/>
  <c r="E661"/>
  <c r="Y661"/>
  <c r="Z661"/>
  <c r="T662"/>
  <c r="G662"/>
  <c r="X662"/>
  <c r="E662"/>
  <c r="Y662"/>
  <c r="Z662"/>
  <c r="T663"/>
  <c r="G663"/>
  <c r="X663"/>
  <c r="E663"/>
  <c r="Y663"/>
  <c r="Z663"/>
  <c r="T664"/>
  <c r="G664"/>
  <c r="X664"/>
  <c r="E664"/>
  <c r="Y664"/>
  <c r="Z664"/>
  <c r="L665"/>
  <c r="T665"/>
  <c r="G665"/>
  <c r="X665"/>
  <c r="E665"/>
  <c r="Y665"/>
  <c r="Z665"/>
  <c r="L666"/>
  <c r="T666"/>
  <c r="G666"/>
  <c r="X666"/>
  <c r="E666"/>
  <c r="Y666"/>
  <c r="Z666"/>
  <c r="T667"/>
  <c r="G667"/>
  <c r="X667"/>
  <c r="E667"/>
  <c r="Y667"/>
  <c r="Z667"/>
  <c r="T668"/>
  <c r="G668"/>
  <c r="X668"/>
  <c r="E668"/>
  <c r="Y668"/>
  <c r="Z668"/>
  <c r="T669"/>
  <c r="G669"/>
  <c r="X669"/>
  <c r="E669"/>
  <c r="Y669"/>
  <c r="Z669"/>
  <c r="Z659"/>
  <c r="T671"/>
  <c r="G671"/>
  <c r="X671"/>
  <c r="E671"/>
  <c r="Y671"/>
  <c r="Z671"/>
  <c r="T672"/>
  <c r="G672"/>
  <c r="X672"/>
  <c r="E672"/>
  <c r="Y672"/>
  <c r="Z672"/>
  <c r="T673"/>
  <c r="G673"/>
  <c r="X673"/>
  <c r="E673"/>
  <c r="Y673"/>
  <c r="Z673"/>
  <c r="T674"/>
  <c r="G674"/>
  <c r="X674"/>
  <c r="E674"/>
  <c r="Y674"/>
  <c r="Z674"/>
  <c r="T675"/>
  <c r="G675"/>
  <c r="X675"/>
  <c r="E675"/>
  <c r="Y675"/>
  <c r="Z675"/>
  <c r="T676"/>
  <c r="G676"/>
  <c r="X676"/>
  <c r="E676"/>
  <c r="Y676"/>
  <c r="Z676"/>
  <c r="T677"/>
  <c r="G677"/>
  <c r="X677"/>
  <c r="E677"/>
  <c r="Y677"/>
  <c r="Z677"/>
  <c r="Z670"/>
  <c r="L679"/>
  <c r="T679"/>
  <c r="G679"/>
  <c r="X679"/>
  <c r="E679"/>
  <c r="Y679"/>
  <c r="Z679"/>
  <c r="T680"/>
  <c r="G680"/>
  <c r="X680"/>
  <c r="E680"/>
  <c r="Y680"/>
  <c r="Z680"/>
  <c r="T681"/>
  <c r="G681"/>
  <c r="X681"/>
  <c r="E681"/>
  <c r="Y681"/>
  <c r="Z681"/>
  <c r="T682"/>
  <c r="G682"/>
  <c r="X682"/>
  <c r="E682"/>
  <c r="Y682"/>
  <c r="Z682"/>
  <c r="T683"/>
  <c r="G683"/>
  <c r="X683"/>
  <c r="E683"/>
  <c r="Y683"/>
  <c r="Z683"/>
  <c r="T684"/>
  <c r="G684"/>
  <c r="X684"/>
  <c r="E684"/>
  <c r="Y684"/>
  <c r="Z684"/>
  <c r="T685"/>
  <c r="G685"/>
  <c r="X685"/>
  <c r="E685"/>
  <c r="Y685"/>
  <c r="Z685"/>
  <c r="T686"/>
  <c r="G686"/>
  <c r="X686"/>
  <c r="E686"/>
  <c r="Y686"/>
  <c r="Z686"/>
  <c r="K687"/>
  <c r="T687"/>
  <c r="G687"/>
  <c r="X687"/>
  <c r="E687"/>
  <c r="Y687"/>
  <c r="Z687"/>
  <c r="Z678"/>
  <c r="T689"/>
  <c r="G689"/>
  <c r="X689"/>
  <c r="E689"/>
  <c r="Y689"/>
  <c r="Z689"/>
  <c r="T690"/>
  <c r="G690"/>
  <c r="X690"/>
  <c r="E690"/>
  <c r="Y690"/>
  <c r="Z690"/>
  <c r="T691"/>
  <c r="G691"/>
  <c r="X691"/>
  <c r="E691"/>
  <c r="Y691"/>
  <c r="Z691"/>
  <c r="T692"/>
  <c r="G692"/>
  <c r="X692"/>
  <c r="E692"/>
  <c r="Y692"/>
  <c r="Z692"/>
  <c r="T693"/>
  <c r="G693"/>
  <c r="X693"/>
  <c r="E693"/>
  <c r="Y693"/>
  <c r="Z693"/>
  <c r="T694"/>
  <c r="G694"/>
  <c r="X694"/>
  <c r="E694"/>
  <c r="Y694"/>
  <c r="Z694"/>
  <c r="T695"/>
  <c r="G695"/>
  <c r="X695"/>
  <c r="E695"/>
  <c r="Y695"/>
  <c r="Z695"/>
  <c r="T696"/>
  <c r="G696"/>
  <c r="X696"/>
  <c r="E696"/>
  <c r="Y696"/>
  <c r="Z696"/>
  <c r="T697"/>
  <c r="G697"/>
  <c r="X697"/>
  <c r="E697"/>
  <c r="Y697"/>
  <c r="Z697"/>
  <c r="T698"/>
  <c r="G698"/>
  <c r="X698"/>
  <c r="E698"/>
  <c r="Y698"/>
  <c r="Z698"/>
  <c r="T699"/>
  <c r="G699"/>
  <c r="X699"/>
  <c r="E699"/>
  <c r="Y699"/>
  <c r="Z699"/>
  <c r="T700"/>
  <c r="G700"/>
  <c r="X700"/>
  <c r="E700"/>
  <c r="Y700"/>
  <c r="Z700"/>
  <c r="T701"/>
  <c r="G701"/>
  <c r="X701"/>
  <c r="E701"/>
  <c r="Y701"/>
  <c r="Z701"/>
  <c r="T702"/>
  <c r="G702"/>
  <c r="X702"/>
  <c r="E702"/>
  <c r="Y702"/>
  <c r="Z702"/>
  <c r="T703"/>
  <c r="G703"/>
  <c r="X703"/>
  <c r="E703"/>
  <c r="Y703"/>
  <c r="Z703"/>
  <c r="T704"/>
  <c r="G704"/>
  <c r="X704"/>
  <c r="E704"/>
  <c r="Y704"/>
  <c r="Z704"/>
  <c r="T705"/>
  <c r="G705"/>
  <c r="X705"/>
  <c r="E705"/>
  <c r="Y705"/>
  <c r="Z705"/>
  <c r="T706"/>
  <c r="G706"/>
  <c r="X706"/>
  <c r="E706"/>
  <c r="Y706"/>
  <c r="Z706"/>
  <c r="T707"/>
  <c r="G707"/>
  <c r="X707"/>
  <c r="E707"/>
  <c r="Y707"/>
  <c r="Z707"/>
  <c r="T708"/>
  <c r="G708"/>
  <c r="X708"/>
  <c r="E708"/>
  <c r="Y708"/>
  <c r="Z708"/>
  <c r="T709"/>
  <c r="G709"/>
  <c r="X709"/>
  <c r="E709"/>
  <c r="Y709"/>
  <c r="Z709"/>
  <c r="T710"/>
  <c r="G710"/>
  <c r="X710"/>
  <c r="E710"/>
  <c r="Y710"/>
  <c r="Z710"/>
  <c r="T711"/>
  <c r="G711"/>
  <c r="X711"/>
  <c r="E711"/>
  <c r="Y711"/>
  <c r="Z711"/>
  <c r="T712"/>
  <c r="G712"/>
  <c r="X712"/>
  <c r="E712"/>
  <c r="Y712"/>
  <c r="Z712"/>
  <c r="Z688"/>
  <c r="G714"/>
  <c r="E714"/>
  <c r="Y714"/>
  <c r="Z714"/>
  <c r="G715"/>
  <c r="E715"/>
  <c r="Y715"/>
  <c r="Z715"/>
  <c r="Z713"/>
  <c r="Z658"/>
  <c r="C67" i="21"/>
  <c r="H67"/>
  <c r="L718" i="19"/>
  <c r="T718"/>
  <c r="G718"/>
  <c r="X718"/>
  <c r="E718"/>
  <c r="Y718"/>
  <c r="Z718"/>
  <c r="L719"/>
  <c r="T719"/>
  <c r="G719"/>
  <c r="X719"/>
  <c r="E719"/>
  <c r="Y719"/>
  <c r="Z719"/>
  <c r="R720"/>
  <c r="T720"/>
  <c r="G720"/>
  <c r="X720"/>
  <c r="E720"/>
  <c r="Y720"/>
  <c r="Z720"/>
  <c r="T721"/>
  <c r="G721"/>
  <c r="X721"/>
  <c r="E721"/>
  <c r="Y721"/>
  <c r="Z721"/>
  <c r="R722"/>
  <c r="T722"/>
  <c r="G722"/>
  <c r="X722"/>
  <c r="E722"/>
  <c r="Y722"/>
  <c r="Z722"/>
  <c r="R723"/>
  <c r="T723"/>
  <c r="G723"/>
  <c r="X723"/>
  <c r="E723"/>
  <c r="Y723"/>
  <c r="Z723"/>
  <c r="T724"/>
  <c r="G724"/>
  <c r="X724"/>
  <c r="E724"/>
  <c r="Y724"/>
  <c r="Z724"/>
  <c r="R725"/>
  <c r="T725"/>
  <c r="G725"/>
  <c r="X725"/>
  <c r="E725"/>
  <c r="Y725"/>
  <c r="Z725"/>
  <c r="T726"/>
  <c r="G726"/>
  <c r="X726"/>
  <c r="E726"/>
  <c r="Y726"/>
  <c r="Z726"/>
  <c r="T727"/>
  <c r="G727"/>
  <c r="X727"/>
  <c r="E727"/>
  <c r="Y727"/>
  <c r="Z727"/>
  <c r="R728"/>
  <c r="T728"/>
  <c r="G728"/>
  <c r="X728"/>
  <c r="E728"/>
  <c r="Y728"/>
  <c r="Z728"/>
  <c r="Z717"/>
  <c r="T730"/>
  <c r="G730"/>
  <c r="X730"/>
  <c r="E730"/>
  <c r="Y730"/>
  <c r="Z730"/>
  <c r="T731"/>
  <c r="G731"/>
  <c r="X731"/>
  <c r="E731"/>
  <c r="Y731"/>
  <c r="Z731"/>
  <c r="L732"/>
  <c r="T732"/>
  <c r="G732"/>
  <c r="X732"/>
  <c r="E732"/>
  <c r="Y732"/>
  <c r="Z732"/>
  <c r="T733"/>
  <c r="G733"/>
  <c r="X733"/>
  <c r="E733"/>
  <c r="Y733"/>
  <c r="Z733"/>
  <c r="T734"/>
  <c r="G734"/>
  <c r="X734"/>
  <c r="E734"/>
  <c r="Y734"/>
  <c r="Z734"/>
  <c r="T735"/>
  <c r="G735"/>
  <c r="X735"/>
  <c r="E735"/>
  <c r="Y735"/>
  <c r="Z735"/>
  <c r="T736"/>
  <c r="G736"/>
  <c r="X736"/>
  <c r="E736"/>
  <c r="Y736"/>
  <c r="Z736"/>
  <c r="T737"/>
  <c r="G737"/>
  <c r="X737"/>
  <c r="E737"/>
  <c r="Y737"/>
  <c r="Z737"/>
  <c r="Z729"/>
  <c r="G739"/>
  <c r="E739"/>
  <c r="Y739"/>
  <c r="Z739"/>
  <c r="F740"/>
  <c r="G740"/>
  <c r="E740"/>
  <c r="Y740"/>
  <c r="Z740"/>
  <c r="Z738"/>
  <c r="T742"/>
  <c r="G742"/>
  <c r="X742"/>
  <c r="E742"/>
  <c r="T743"/>
  <c r="G743"/>
  <c r="X743"/>
  <c r="E743"/>
  <c r="T744"/>
  <c r="G744"/>
  <c r="X744"/>
  <c r="E744"/>
  <c r="T745"/>
  <c r="G745"/>
  <c r="X745"/>
  <c r="E745"/>
  <c r="T746"/>
  <c r="G746"/>
  <c r="X746"/>
  <c r="E746"/>
  <c r="T747"/>
  <c r="G747"/>
  <c r="X747"/>
  <c r="E747"/>
  <c r="T748"/>
  <c r="G748"/>
  <c r="X748"/>
  <c r="E748"/>
  <c r="T749"/>
  <c r="G749"/>
  <c r="X749"/>
  <c r="E749"/>
  <c r="T750"/>
  <c r="G750"/>
  <c r="X750"/>
  <c r="E750"/>
  <c r="T751"/>
  <c r="G751"/>
  <c r="X751"/>
  <c r="E751"/>
  <c r="T752"/>
  <c r="G752"/>
  <c r="X752"/>
  <c r="E752"/>
  <c r="T753"/>
  <c r="G753"/>
  <c r="X753"/>
  <c r="E753"/>
  <c r="T754"/>
  <c r="G754"/>
  <c r="X754"/>
  <c r="E754"/>
  <c r="T755"/>
  <c r="G755"/>
  <c r="X755"/>
  <c r="E755"/>
  <c r="T756"/>
  <c r="G756"/>
  <c r="X756"/>
  <c r="E756"/>
  <c r="T757"/>
  <c r="G757"/>
  <c r="X757"/>
  <c r="E757"/>
  <c r="T758"/>
  <c r="G758"/>
  <c r="X758"/>
  <c r="E758"/>
  <c r="T759"/>
  <c r="G759"/>
  <c r="X759"/>
  <c r="E759"/>
  <c r="T760"/>
  <c r="G760"/>
  <c r="X760"/>
  <c r="E760"/>
  <c r="T761"/>
  <c r="G761"/>
  <c r="X761"/>
  <c r="E761"/>
  <c r="T762"/>
  <c r="G762"/>
  <c r="X762"/>
  <c r="E762"/>
  <c r="T763"/>
  <c r="G763"/>
  <c r="X763"/>
  <c r="E763"/>
  <c r="T764"/>
  <c r="G764"/>
  <c r="X764"/>
  <c r="E764"/>
  <c r="T765"/>
  <c r="G765"/>
  <c r="X765"/>
  <c r="E765"/>
  <c r="E741"/>
  <c r="Y741"/>
  <c r="Z741"/>
  <c r="T767"/>
  <c r="G767"/>
  <c r="X767"/>
  <c r="E767"/>
  <c r="Y767"/>
  <c r="Z767"/>
  <c r="T768"/>
  <c r="G768"/>
  <c r="X768"/>
  <c r="E768"/>
  <c r="Y768"/>
  <c r="Z768"/>
  <c r="T769"/>
  <c r="G769"/>
  <c r="X769"/>
  <c r="E769"/>
  <c r="Y769"/>
  <c r="Z769"/>
  <c r="T770"/>
  <c r="G770"/>
  <c r="X770"/>
  <c r="E770"/>
  <c r="Y770"/>
  <c r="Z770"/>
  <c r="T771"/>
  <c r="G771"/>
  <c r="X771"/>
  <c r="E771"/>
  <c r="Y771"/>
  <c r="Z771"/>
  <c r="T772"/>
  <c r="G772"/>
  <c r="X772"/>
  <c r="E772"/>
  <c r="Y772"/>
  <c r="Z772"/>
  <c r="T773"/>
  <c r="G773"/>
  <c r="X773"/>
  <c r="E773"/>
  <c r="Y773"/>
  <c r="Z773"/>
  <c r="T774"/>
  <c r="G774"/>
  <c r="X774"/>
  <c r="E774"/>
  <c r="Y774"/>
  <c r="Z774"/>
  <c r="T775"/>
  <c r="G775"/>
  <c r="X775"/>
  <c r="E775"/>
  <c r="Y775"/>
  <c r="Z775"/>
  <c r="T776"/>
  <c r="G776"/>
  <c r="X776"/>
  <c r="E776"/>
  <c r="Y776"/>
  <c r="Z776"/>
  <c r="T777"/>
  <c r="G777"/>
  <c r="X777"/>
  <c r="E777"/>
  <c r="Y777"/>
  <c r="Z777"/>
  <c r="T778"/>
  <c r="G778"/>
  <c r="X778"/>
  <c r="E778"/>
  <c r="Y778"/>
  <c r="Z778"/>
  <c r="Z766"/>
  <c r="Z716"/>
  <c r="C68" i="21"/>
  <c r="H68"/>
  <c r="T781" i="19"/>
  <c r="G781"/>
  <c r="X781"/>
  <c r="E781"/>
  <c r="Y781"/>
  <c r="Z781"/>
  <c r="T782"/>
  <c r="G782"/>
  <c r="X782"/>
  <c r="E782"/>
  <c r="Y782"/>
  <c r="Z782"/>
  <c r="T783"/>
  <c r="G783"/>
  <c r="X783"/>
  <c r="E783"/>
  <c r="Y783"/>
  <c r="Z783"/>
  <c r="T784"/>
  <c r="G784"/>
  <c r="X784"/>
  <c r="E784"/>
  <c r="Y784"/>
  <c r="Z784"/>
  <c r="T785"/>
  <c r="G785"/>
  <c r="X785"/>
  <c r="E785"/>
  <c r="Y785"/>
  <c r="Z785"/>
  <c r="T786"/>
  <c r="G786"/>
  <c r="X786"/>
  <c r="E786"/>
  <c r="Y786"/>
  <c r="Z786"/>
  <c r="T787"/>
  <c r="G787"/>
  <c r="X787"/>
  <c r="E787"/>
  <c r="Y787"/>
  <c r="Z787"/>
  <c r="T788"/>
  <c r="G788"/>
  <c r="X788"/>
  <c r="E788"/>
  <c r="Y788"/>
  <c r="Z788"/>
  <c r="L789"/>
  <c r="T789"/>
  <c r="G789"/>
  <c r="X789"/>
  <c r="E789"/>
  <c r="Y789"/>
  <c r="Z789"/>
  <c r="T790"/>
  <c r="G790"/>
  <c r="X790"/>
  <c r="E790"/>
  <c r="Y790"/>
  <c r="Z790"/>
  <c r="Z780"/>
  <c r="T792"/>
  <c r="G792"/>
  <c r="X792"/>
  <c r="E792"/>
  <c r="Y792"/>
  <c r="Z792"/>
  <c r="T793"/>
  <c r="G793"/>
  <c r="X793"/>
  <c r="E793"/>
  <c r="Y793"/>
  <c r="Z793"/>
  <c r="T794"/>
  <c r="G794"/>
  <c r="X794"/>
  <c r="E794"/>
  <c r="Y794"/>
  <c r="Z794"/>
  <c r="T795"/>
  <c r="G795"/>
  <c r="X795"/>
  <c r="E795"/>
  <c r="Y795"/>
  <c r="Z795"/>
  <c r="T796"/>
  <c r="G796"/>
  <c r="X796"/>
  <c r="E796"/>
  <c r="Y796"/>
  <c r="Z796"/>
  <c r="T797"/>
  <c r="G797"/>
  <c r="X797"/>
  <c r="E797"/>
  <c r="Y797"/>
  <c r="Z797"/>
  <c r="T798"/>
  <c r="G798"/>
  <c r="X798"/>
  <c r="E798"/>
  <c r="Y798"/>
  <c r="Z798"/>
  <c r="Z791"/>
  <c r="G800"/>
  <c r="E800"/>
  <c r="Y800"/>
  <c r="Z800"/>
  <c r="G801"/>
  <c r="E801"/>
  <c r="Y801"/>
  <c r="Z801"/>
  <c r="G802"/>
  <c r="E802"/>
  <c r="Y802"/>
  <c r="Z802"/>
  <c r="G803"/>
  <c r="E803"/>
  <c r="Y803"/>
  <c r="Z803"/>
  <c r="G804"/>
  <c r="E804"/>
  <c r="Y804"/>
  <c r="Z804"/>
  <c r="Z799"/>
  <c r="G806"/>
  <c r="E806"/>
  <c r="Y806"/>
  <c r="Z806"/>
  <c r="F807"/>
  <c r="G807"/>
  <c r="E807"/>
  <c r="Y807"/>
  <c r="Z807"/>
  <c r="Z805"/>
  <c r="G809"/>
  <c r="X809"/>
  <c r="E809"/>
  <c r="Y809"/>
  <c r="Z809"/>
  <c r="G810"/>
  <c r="X810"/>
  <c r="E810"/>
  <c r="Y810"/>
  <c r="Z810"/>
  <c r="G811"/>
  <c r="X811"/>
  <c r="E811"/>
  <c r="Y811"/>
  <c r="Z811"/>
  <c r="G812"/>
  <c r="X812"/>
  <c r="E812"/>
  <c r="Y812"/>
  <c r="Z812"/>
  <c r="G813"/>
  <c r="X813"/>
  <c r="E813"/>
  <c r="Y813"/>
  <c r="Z813"/>
  <c r="G814"/>
  <c r="X814"/>
  <c r="E814"/>
  <c r="Y814"/>
  <c r="Z814"/>
  <c r="G815"/>
  <c r="X815"/>
  <c r="E815"/>
  <c r="Y815"/>
  <c r="Z815"/>
  <c r="G816"/>
  <c r="X816"/>
  <c r="E816"/>
  <c r="Y816"/>
  <c r="Z816"/>
  <c r="G817"/>
  <c r="X817"/>
  <c r="E817"/>
  <c r="Y817"/>
  <c r="Z817"/>
  <c r="Z808"/>
  <c r="G819"/>
  <c r="X819"/>
  <c r="E819"/>
  <c r="Y819"/>
  <c r="Z819"/>
  <c r="G820"/>
  <c r="X820"/>
  <c r="E820"/>
  <c r="Y820"/>
  <c r="Z820"/>
  <c r="G821"/>
  <c r="X821"/>
  <c r="E821"/>
  <c r="Y821"/>
  <c r="Z821"/>
  <c r="G822"/>
  <c r="X822"/>
  <c r="E822"/>
  <c r="Y822"/>
  <c r="Z822"/>
  <c r="G823"/>
  <c r="X823"/>
  <c r="E823"/>
  <c r="Y823"/>
  <c r="Z823"/>
  <c r="G824"/>
  <c r="X824"/>
  <c r="E824"/>
  <c r="Y824"/>
  <c r="Z824"/>
  <c r="G825"/>
  <c r="X825"/>
  <c r="E825"/>
  <c r="Y825"/>
  <c r="Z825"/>
  <c r="G826"/>
  <c r="X826"/>
  <c r="E826"/>
  <c r="Y826"/>
  <c r="Z826"/>
  <c r="G827"/>
  <c r="X827"/>
  <c r="E827"/>
  <c r="Y827"/>
  <c r="Z827"/>
  <c r="G828"/>
  <c r="X828"/>
  <c r="E828"/>
  <c r="Y828"/>
  <c r="Z828"/>
  <c r="G829"/>
  <c r="X829"/>
  <c r="E829"/>
  <c r="Y829"/>
  <c r="Z829"/>
  <c r="G830"/>
  <c r="X830"/>
  <c r="E830"/>
  <c r="Y830"/>
  <c r="Z830"/>
  <c r="G831"/>
  <c r="X831"/>
  <c r="E831"/>
  <c r="Y831"/>
  <c r="Z831"/>
  <c r="G832"/>
  <c r="X832"/>
  <c r="E832"/>
  <c r="Y832"/>
  <c r="Z832"/>
  <c r="G833"/>
  <c r="X833"/>
  <c r="E833"/>
  <c r="Y833"/>
  <c r="Z833"/>
  <c r="G834"/>
  <c r="X834"/>
  <c r="E834"/>
  <c r="Y834"/>
  <c r="Z834"/>
  <c r="G835"/>
  <c r="X835"/>
  <c r="E835"/>
  <c r="Y835"/>
  <c r="Z835"/>
  <c r="G836"/>
  <c r="X836"/>
  <c r="E836"/>
  <c r="Y836"/>
  <c r="Z836"/>
  <c r="G837"/>
  <c r="X837"/>
  <c r="E837"/>
  <c r="Y837"/>
  <c r="Z837"/>
  <c r="G838"/>
  <c r="X838"/>
  <c r="E838"/>
  <c r="Y838"/>
  <c r="Z838"/>
  <c r="G839"/>
  <c r="X839"/>
  <c r="E839"/>
  <c r="Y839"/>
  <c r="Z839"/>
  <c r="G840"/>
  <c r="X840"/>
  <c r="E840"/>
  <c r="Y840"/>
  <c r="Z840"/>
  <c r="G841"/>
  <c r="X841"/>
  <c r="E841"/>
  <c r="Y841"/>
  <c r="Z841"/>
  <c r="G842"/>
  <c r="X842"/>
  <c r="E842"/>
  <c r="Y842"/>
  <c r="Z842"/>
  <c r="G843"/>
  <c r="X843"/>
  <c r="E843"/>
  <c r="Y843"/>
  <c r="Z843"/>
  <c r="G844"/>
  <c r="X844"/>
  <c r="E844"/>
  <c r="Y844"/>
  <c r="Z844"/>
  <c r="Z818"/>
  <c r="Z779"/>
  <c r="C69" i="21"/>
  <c r="H69"/>
  <c r="H61"/>
  <c r="H14"/>
  <c r="L14"/>
  <c r="L36"/>
  <c r="L35"/>
  <c r="D11" i="20"/>
  <c r="D22" i="21"/>
  <c r="C22" i="20"/>
  <c r="E22"/>
  <c r="C25"/>
  <c r="E25"/>
  <c r="C39"/>
  <c r="D40"/>
  <c r="D39"/>
  <c r="E39"/>
  <c r="E40"/>
  <c r="D31" i="21"/>
  <c r="I31"/>
  <c r="D29"/>
  <c r="E29"/>
  <c r="F29"/>
  <c r="G29"/>
  <c r="I30"/>
  <c r="I29"/>
  <c r="D30"/>
  <c r="C29"/>
  <c r="C28"/>
  <c r="D28"/>
  <c r="E28"/>
  <c r="F28"/>
  <c r="G28"/>
  <c r="I32"/>
  <c r="I33"/>
  <c r="I34"/>
  <c r="I35"/>
  <c r="I36"/>
  <c r="I37"/>
  <c r="I38"/>
  <c r="I39"/>
  <c r="I28"/>
  <c r="D69"/>
  <c r="I69"/>
  <c r="B69"/>
  <c r="D68"/>
  <c r="I68"/>
  <c r="B68"/>
  <c r="D67"/>
  <c r="I67"/>
  <c r="B67"/>
  <c r="D66"/>
  <c r="I66"/>
  <c r="B66"/>
  <c r="D65"/>
  <c r="I65"/>
  <c r="B65"/>
  <c r="D64"/>
  <c r="I64"/>
  <c r="B64"/>
  <c r="D63"/>
  <c r="I63"/>
  <c r="B63"/>
  <c r="D62"/>
  <c r="I62"/>
  <c r="B62"/>
  <c r="I61"/>
  <c r="G61"/>
  <c r="F61"/>
  <c r="E61"/>
  <c r="D61"/>
  <c r="C61"/>
  <c r="D60"/>
  <c r="I60"/>
  <c r="B60"/>
  <c r="D59"/>
  <c r="I59"/>
  <c r="D58"/>
  <c r="I58"/>
  <c r="B58"/>
  <c r="D57"/>
  <c r="C57"/>
  <c r="I57"/>
  <c r="G57"/>
  <c r="F57"/>
  <c r="E57"/>
  <c r="D56"/>
  <c r="I56"/>
  <c r="D55"/>
  <c r="I55"/>
  <c r="G55"/>
  <c r="F55"/>
  <c r="E55"/>
  <c r="D54"/>
  <c r="I54"/>
  <c r="B54"/>
  <c r="D53"/>
  <c r="I53"/>
  <c r="I52"/>
  <c r="G52"/>
  <c r="F52"/>
  <c r="E52"/>
  <c r="D52"/>
  <c r="C52"/>
  <c r="B52"/>
  <c r="D51"/>
  <c r="I51"/>
  <c r="D50"/>
  <c r="I50"/>
  <c r="D49"/>
  <c r="I49"/>
  <c r="D48"/>
  <c r="I48"/>
  <c r="D47"/>
  <c r="I47"/>
  <c r="D46"/>
  <c r="I46"/>
  <c r="D45"/>
  <c r="I45"/>
  <c r="D44"/>
  <c r="I44"/>
  <c r="D43"/>
  <c r="I43"/>
  <c r="D42"/>
  <c r="I42"/>
  <c r="D41"/>
  <c r="I41"/>
  <c r="I40"/>
  <c r="G40"/>
  <c r="F40"/>
  <c r="E40"/>
  <c r="D40"/>
  <c r="C40"/>
  <c r="B40"/>
  <c r="D39"/>
  <c r="B39"/>
  <c r="D38"/>
  <c r="B38"/>
  <c r="D37"/>
  <c r="B37"/>
  <c r="D36"/>
  <c r="B36"/>
  <c r="D35"/>
  <c r="B35"/>
  <c r="D34"/>
  <c r="B34"/>
  <c r="D33"/>
  <c r="B33"/>
  <c r="D32"/>
  <c r="B32"/>
  <c r="B29"/>
  <c r="D27"/>
  <c r="C27"/>
  <c r="I27"/>
  <c r="B27"/>
  <c r="D26"/>
  <c r="I26"/>
  <c r="B26"/>
  <c r="D25"/>
  <c r="I25"/>
  <c r="B25"/>
  <c r="D24"/>
  <c r="I24"/>
  <c r="B24"/>
  <c r="D23"/>
  <c r="I23"/>
  <c r="B23"/>
  <c r="I22"/>
  <c r="B22"/>
  <c r="D21"/>
  <c r="I21"/>
  <c r="B21"/>
  <c r="D20"/>
  <c r="I20"/>
  <c r="B20"/>
  <c r="D19"/>
  <c r="I19"/>
  <c r="B19"/>
  <c r="D18"/>
  <c r="I18"/>
  <c r="B18"/>
  <c r="D17"/>
  <c r="I17"/>
  <c r="B17"/>
  <c r="I16"/>
  <c r="G16"/>
  <c r="F16"/>
  <c r="E16"/>
  <c r="D16"/>
  <c r="C16"/>
  <c r="I15"/>
  <c r="G15"/>
  <c r="F15"/>
  <c r="E15"/>
  <c r="D15"/>
  <c r="C15"/>
  <c r="I14"/>
  <c r="G14"/>
  <c r="F14"/>
  <c r="E14"/>
  <c r="D14"/>
  <c r="C14"/>
  <c r="F283" i="19"/>
  <c r="F293"/>
  <c r="F311"/>
  <c r="F282"/>
  <c r="G283"/>
  <c r="G293"/>
  <c r="G311"/>
  <c r="G282"/>
  <c r="H283"/>
  <c r="H293"/>
  <c r="H311"/>
  <c r="H282"/>
  <c r="I283"/>
  <c r="I293"/>
  <c r="I311"/>
  <c r="I282"/>
  <c r="J283"/>
  <c r="J293"/>
  <c r="J311"/>
  <c r="J282"/>
  <c r="K283"/>
  <c r="K293"/>
  <c r="K311"/>
  <c r="K282"/>
  <c r="L283"/>
  <c r="L293"/>
  <c r="L311"/>
  <c r="L282"/>
  <c r="M283"/>
  <c r="M293"/>
  <c r="M311"/>
  <c r="M282"/>
  <c r="N283"/>
  <c r="N293"/>
  <c r="N311"/>
  <c r="N282"/>
  <c r="O283"/>
  <c r="O293"/>
  <c r="O311"/>
  <c r="O282"/>
  <c r="P283"/>
  <c r="P293"/>
  <c r="P311"/>
  <c r="P282"/>
  <c r="Q283"/>
  <c r="Q293"/>
  <c r="Q311"/>
  <c r="Q282"/>
  <c r="R283"/>
  <c r="R293"/>
  <c r="R311"/>
  <c r="R282"/>
  <c r="S283"/>
  <c r="S293"/>
  <c r="S311"/>
  <c r="S282"/>
  <c r="T283"/>
  <c r="T293"/>
  <c r="T311"/>
  <c r="T282"/>
  <c r="U283"/>
  <c r="U293"/>
  <c r="U311"/>
  <c r="U282"/>
  <c r="V283"/>
  <c r="V293"/>
  <c r="V311"/>
  <c r="V282"/>
  <c r="W283"/>
  <c r="W293"/>
  <c r="W311"/>
  <c r="W282"/>
  <c r="X283"/>
  <c r="X293"/>
  <c r="X311"/>
  <c r="X282"/>
  <c r="Y283"/>
  <c r="Y293"/>
  <c r="Y311"/>
  <c r="Y282"/>
  <c r="D283"/>
  <c r="D293"/>
  <c r="D311"/>
  <c r="D282"/>
  <c r="E283"/>
  <c r="E293"/>
  <c r="E311"/>
  <c r="E282"/>
  <c r="C283"/>
  <c r="C293"/>
  <c r="C311"/>
  <c r="C282"/>
  <c r="Z90"/>
  <c r="T79"/>
  <c r="V79"/>
  <c r="G79"/>
  <c r="X79"/>
  <c r="E79"/>
  <c r="Y79"/>
  <c r="Z79"/>
  <c r="T80"/>
  <c r="V80"/>
  <c r="G80"/>
  <c r="X80"/>
  <c r="E80"/>
  <c r="Y80"/>
  <c r="Z80"/>
  <c r="T81"/>
  <c r="V81"/>
  <c r="G81"/>
  <c r="X81"/>
  <c r="E81"/>
  <c r="Y81"/>
  <c r="Z81"/>
  <c r="T82"/>
  <c r="V82"/>
  <c r="G82"/>
  <c r="X82"/>
  <c r="E82"/>
  <c r="Y82"/>
  <c r="Z82"/>
  <c r="T83"/>
  <c r="V83"/>
  <c r="G83"/>
  <c r="X83"/>
  <c r="E83"/>
  <c r="Y83"/>
  <c r="Z83"/>
  <c r="Z78"/>
  <c r="T85"/>
  <c r="V85"/>
  <c r="G85"/>
  <c r="X85"/>
  <c r="E85"/>
  <c r="Y85"/>
  <c r="Z85"/>
  <c r="T86"/>
  <c r="V86"/>
  <c r="G86"/>
  <c r="X86"/>
  <c r="E86"/>
  <c r="Y86"/>
  <c r="Z86"/>
  <c r="T87"/>
  <c r="V87"/>
  <c r="G87"/>
  <c r="X87"/>
  <c r="E87"/>
  <c r="Y87"/>
  <c r="Z87"/>
  <c r="T88"/>
  <c r="V88"/>
  <c r="G88"/>
  <c r="X88"/>
  <c r="E88"/>
  <c r="Y88"/>
  <c r="Z88"/>
  <c r="Z84"/>
  <c r="Z77"/>
  <c r="G345"/>
  <c r="G357"/>
  <c r="G368"/>
  <c r="I371"/>
  <c r="L371"/>
  <c r="N371"/>
  <c r="O371"/>
  <c r="T371"/>
  <c r="V371"/>
  <c r="G371"/>
  <c r="G374"/>
  <c r="G386"/>
  <c r="G344"/>
  <c r="G416"/>
  <c r="G428"/>
  <c r="G437"/>
  <c r="G447"/>
  <c r="G475"/>
  <c r="G415"/>
  <c r="G482"/>
  <c r="G493"/>
  <c r="G500"/>
  <c r="G503"/>
  <c r="G524"/>
  <c r="G481"/>
  <c r="G539"/>
  <c r="G548"/>
  <c r="G559"/>
  <c r="G562"/>
  <c r="G574"/>
  <c r="G538"/>
  <c r="G601"/>
  <c r="G611"/>
  <c r="G618"/>
  <c r="G621"/>
  <c r="G630"/>
  <c r="G600"/>
  <c r="G659"/>
  <c r="G670"/>
  <c r="G678"/>
  <c r="G688"/>
  <c r="G713"/>
  <c r="G658"/>
  <c r="G717"/>
  <c r="G729"/>
  <c r="G738"/>
  <c r="G741"/>
  <c r="G766"/>
  <c r="G716"/>
  <c r="G780"/>
  <c r="G791"/>
  <c r="G799"/>
  <c r="G805"/>
  <c r="G808"/>
  <c r="G818"/>
  <c r="G779"/>
  <c r="G343"/>
  <c r="H345"/>
  <c r="H357"/>
  <c r="H368"/>
  <c r="H374"/>
  <c r="H386"/>
  <c r="H344"/>
  <c r="H416"/>
  <c r="H428"/>
  <c r="H437"/>
  <c r="H447"/>
  <c r="H475"/>
  <c r="H415"/>
  <c r="H482"/>
  <c r="H493"/>
  <c r="H500"/>
  <c r="H503"/>
  <c r="H524"/>
  <c r="H481"/>
  <c r="H539"/>
  <c r="H548"/>
  <c r="H559"/>
  <c r="H562"/>
  <c r="H574"/>
  <c r="H538"/>
  <c r="H601"/>
  <c r="H611"/>
  <c r="H618"/>
  <c r="H621"/>
  <c r="H630"/>
  <c r="H600"/>
  <c r="H659"/>
  <c r="H670"/>
  <c r="H678"/>
  <c r="H688"/>
  <c r="H713"/>
  <c r="H658"/>
  <c r="H717"/>
  <c r="H729"/>
  <c r="H738"/>
  <c r="H741"/>
  <c r="H766"/>
  <c r="H716"/>
  <c r="H780"/>
  <c r="H791"/>
  <c r="H799"/>
  <c r="H805"/>
  <c r="H808"/>
  <c r="H818"/>
  <c r="H779"/>
  <c r="H343"/>
  <c r="I345"/>
  <c r="I357"/>
  <c r="I368"/>
  <c r="I374"/>
  <c r="I386"/>
  <c r="I344"/>
  <c r="I416"/>
  <c r="I428"/>
  <c r="I437"/>
  <c r="I447"/>
  <c r="I475"/>
  <c r="I415"/>
  <c r="I482"/>
  <c r="I493"/>
  <c r="I500"/>
  <c r="I503"/>
  <c r="I524"/>
  <c r="I481"/>
  <c r="I539"/>
  <c r="I548"/>
  <c r="I559"/>
  <c r="I562"/>
  <c r="I574"/>
  <c r="I538"/>
  <c r="I601"/>
  <c r="I611"/>
  <c r="I618"/>
  <c r="I621"/>
  <c r="I630"/>
  <c r="I600"/>
  <c r="I659"/>
  <c r="I670"/>
  <c r="I678"/>
  <c r="I688"/>
  <c r="I713"/>
  <c r="I658"/>
  <c r="I717"/>
  <c r="I729"/>
  <c r="I738"/>
  <c r="I741"/>
  <c r="I766"/>
  <c r="I716"/>
  <c r="I780"/>
  <c r="I791"/>
  <c r="I799"/>
  <c r="I805"/>
  <c r="I808"/>
  <c r="I818"/>
  <c r="I779"/>
  <c r="I343"/>
  <c r="J345"/>
  <c r="J357"/>
  <c r="J368"/>
  <c r="J374"/>
  <c r="J386"/>
  <c r="J344"/>
  <c r="J416"/>
  <c r="J428"/>
  <c r="J437"/>
  <c r="J447"/>
  <c r="J475"/>
  <c r="J415"/>
  <c r="J482"/>
  <c r="J493"/>
  <c r="J500"/>
  <c r="J503"/>
  <c r="J524"/>
  <c r="J481"/>
  <c r="J539"/>
  <c r="J548"/>
  <c r="J559"/>
  <c r="J562"/>
  <c r="J574"/>
  <c r="J538"/>
  <c r="J601"/>
  <c r="J611"/>
  <c r="J618"/>
  <c r="J621"/>
  <c r="J630"/>
  <c r="J600"/>
  <c r="J659"/>
  <c r="J670"/>
  <c r="J678"/>
  <c r="J688"/>
  <c r="J713"/>
  <c r="J658"/>
  <c r="J717"/>
  <c r="J729"/>
  <c r="J738"/>
  <c r="J741"/>
  <c r="J766"/>
  <c r="J716"/>
  <c r="J780"/>
  <c r="J791"/>
  <c r="J799"/>
  <c r="J805"/>
  <c r="J808"/>
  <c r="J818"/>
  <c r="J779"/>
  <c r="J343"/>
  <c r="K345"/>
  <c r="K357"/>
  <c r="K368"/>
  <c r="K374"/>
  <c r="K386"/>
  <c r="K344"/>
  <c r="K416"/>
  <c r="K428"/>
  <c r="K437"/>
  <c r="K447"/>
  <c r="K475"/>
  <c r="K415"/>
  <c r="K482"/>
  <c r="K493"/>
  <c r="K500"/>
  <c r="K503"/>
  <c r="K524"/>
  <c r="K481"/>
  <c r="K539"/>
  <c r="K548"/>
  <c r="K559"/>
  <c r="K562"/>
  <c r="K574"/>
  <c r="K538"/>
  <c r="K601"/>
  <c r="K611"/>
  <c r="K618"/>
  <c r="K621"/>
  <c r="K630"/>
  <c r="K600"/>
  <c r="K659"/>
  <c r="K670"/>
  <c r="K678"/>
  <c r="K688"/>
  <c r="K713"/>
  <c r="K658"/>
  <c r="K717"/>
  <c r="K729"/>
  <c r="K738"/>
  <c r="K741"/>
  <c r="K766"/>
  <c r="K716"/>
  <c r="K780"/>
  <c r="K791"/>
  <c r="K799"/>
  <c r="K805"/>
  <c r="K808"/>
  <c r="K818"/>
  <c r="K779"/>
  <c r="K343"/>
  <c r="L345"/>
  <c r="L357"/>
  <c r="L368"/>
  <c r="L374"/>
  <c r="L386"/>
  <c r="L344"/>
  <c r="L416"/>
  <c r="L428"/>
  <c r="L437"/>
  <c r="L447"/>
  <c r="L475"/>
  <c r="L415"/>
  <c r="L482"/>
  <c r="L493"/>
  <c r="L500"/>
  <c r="L503"/>
  <c r="L524"/>
  <c r="L481"/>
  <c r="L539"/>
  <c r="L548"/>
  <c r="L559"/>
  <c r="L562"/>
  <c r="L574"/>
  <c r="L538"/>
  <c r="L601"/>
  <c r="L611"/>
  <c r="L618"/>
  <c r="L621"/>
  <c r="L630"/>
  <c r="L600"/>
  <c r="L659"/>
  <c r="L670"/>
  <c r="L678"/>
  <c r="L688"/>
  <c r="L713"/>
  <c r="L658"/>
  <c r="L717"/>
  <c r="L729"/>
  <c r="L738"/>
  <c r="L741"/>
  <c r="L766"/>
  <c r="L716"/>
  <c r="L780"/>
  <c r="L791"/>
  <c r="L799"/>
  <c r="L805"/>
  <c r="L808"/>
  <c r="L818"/>
  <c r="L779"/>
  <c r="L343"/>
  <c r="M345"/>
  <c r="M357"/>
  <c r="M368"/>
  <c r="M374"/>
  <c r="M386"/>
  <c r="M344"/>
  <c r="M416"/>
  <c r="M428"/>
  <c r="M437"/>
  <c r="M447"/>
  <c r="M475"/>
  <c r="M415"/>
  <c r="M482"/>
  <c r="M493"/>
  <c r="M500"/>
  <c r="M503"/>
  <c r="M524"/>
  <c r="M481"/>
  <c r="M539"/>
  <c r="M548"/>
  <c r="M559"/>
  <c r="M562"/>
  <c r="M574"/>
  <c r="M538"/>
  <c r="M601"/>
  <c r="M611"/>
  <c r="M618"/>
  <c r="M621"/>
  <c r="M630"/>
  <c r="M600"/>
  <c r="M659"/>
  <c r="M670"/>
  <c r="M678"/>
  <c r="M688"/>
  <c r="M713"/>
  <c r="M658"/>
  <c r="M717"/>
  <c r="M729"/>
  <c r="M738"/>
  <c r="M741"/>
  <c r="M766"/>
  <c r="M716"/>
  <c r="M780"/>
  <c r="M791"/>
  <c r="M799"/>
  <c r="M805"/>
  <c r="M808"/>
  <c r="M818"/>
  <c r="M779"/>
  <c r="M343"/>
  <c r="N345"/>
  <c r="N357"/>
  <c r="N368"/>
  <c r="N374"/>
  <c r="N386"/>
  <c r="N344"/>
  <c r="N416"/>
  <c r="N428"/>
  <c r="N437"/>
  <c r="N447"/>
  <c r="N475"/>
  <c r="N415"/>
  <c r="N482"/>
  <c r="N493"/>
  <c r="N500"/>
  <c r="N503"/>
  <c r="N524"/>
  <c r="N481"/>
  <c r="N539"/>
  <c r="N548"/>
  <c r="N559"/>
  <c r="N562"/>
  <c r="N574"/>
  <c r="N538"/>
  <c r="N601"/>
  <c r="N611"/>
  <c r="N618"/>
  <c r="N621"/>
  <c r="N630"/>
  <c r="N600"/>
  <c r="N659"/>
  <c r="N670"/>
  <c r="N678"/>
  <c r="N688"/>
  <c r="N713"/>
  <c r="N658"/>
  <c r="N717"/>
  <c r="N729"/>
  <c r="N738"/>
  <c r="N741"/>
  <c r="N766"/>
  <c r="N716"/>
  <c r="N780"/>
  <c r="N791"/>
  <c r="N799"/>
  <c r="N805"/>
  <c r="N808"/>
  <c r="N818"/>
  <c r="N779"/>
  <c r="N343"/>
  <c r="O345"/>
  <c r="O357"/>
  <c r="O368"/>
  <c r="O374"/>
  <c r="O386"/>
  <c r="O344"/>
  <c r="O416"/>
  <c r="O428"/>
  <c r="O437"/>
  <c r="O447"/>
  <c r="O475"/>
  <c r="O415"/>
  <c r="O482"/>
  <c r="O493"/>
  <c r="O500"/>
  <c r="O503"/>
  <c r="O524"/>
  <c r="O481"/>
  <c r="O539"/>
  <c r="O548"/>
  <c r="O559"/>
  <c r="O562"/>
  <c r="O574"/>
  <c r="O538"/>
  <c r="O601"/>
  <c r="O611"/>
  <c r="O618"/>
  <c r="O621"/>
  <c r="O630"/>
  <c r="O600"/>
  <c r="O659"/>
  <c r="O670"/>
  <c r="O678"/>
  <c r="O688"/>
  <c r="O713"/>
  <c r="O658"/>
  <c r="O717"/>
  <c r="O729"/>
  <c r="O738"/>
  <c r="O741"/>
  <c r="O766"/>
  <c r="O716"/>
  <c r="O780"/>
  <c r="O791"/>
  <c r="O799"/>
  <c r="O805"/>
  <c r="O808"/>
  <c r="O818"/>
  <c r="O779"/>
  <c r="O343"/>
  <c r="P345"/>
  <c r="P357"/>
  <c r="P368"/>
  <c r="P374"/>
  <c r="P386"/>
  <c r="P344"/>
  <c r="P416"/>
  <c r="P428"/>
  <c r="P437"/>
  <c r="P447"/>
  <c r="P475"/>
  <c r="P415"/>
  <c r="P482"/>
  <c r="P493"/>
  <c r="P500"/>
  <c r="P503"/>
  <c r="P524"/>
  <c r="P481"/>
  <c r="P539"/>
  <c r="P548"/>
  <c r="P559"/>
  <c r="P562"/>
  <c r="P574"/>
  <c r="P538"/>
  <c r="P601"/>
  <c r="P611"/>
  <c r="P618"/>
  <c r="P621"/>
  <c r="P630"/>
  <c r="P600"/>
  <c r="P659"/>
  <c r="P670"/>
  <c r="P678"/>
  <c r="P688"/>
  <c r="P713"/>
  <c r="P658"/>
  <c r="P717"/>
  <c r="P729"/>
  <c r="P738"/>
  <c r="P741"/>
  <c r="P766"/>
  <c r="P716"/>
  <c r="P780"/>
  <c r="P791"/>
  <c r="P799"/>
  <c r="P805"/>
  <c r="P808"/>
  <c r="P818"/>
  <c r="P779"/>
  <c r="P343"/>
  <c r="Q345"/>
  <c r="Q357"/>
  <c r="Q368"/>
  <c r="Q374"/>
  <c r="Q386"/>
  <c r="Q344"/>
  <c r="Q416"/>
  <c r="Q428"/>
  <c r="Q437"/>
  <c r="Q447"/>
  <c r="Q475"/>
  <c r="Q415"/>
  <c r="Q482"/>
  <c r="Q493"/>
  <c r="Q500"/>
  <c r="Q503"/>
  <c r="Q524"/>
  <c r="Q481"/>
  <c r="Q539"/>
  <c r="Q548"/>
  <c r="Q559"/>
  <c r="Q562"/>
  <c r="Q574"/>
  <c r="Q538"/>
  <c r="Q601"/>
  <c r="Q611"/>
  <c r="Q618"/>
  <c r="Q621"/>
  <c r="Q630"/>
  <c r="Q600"/>
  <c r="Q659"/>
  <c r="Q670"/>
  <c r="Q678"/>
  <c r="Q688"/>
  <c r="Q713"/>
  <c r="Q658"/>
  <c r="Q717"/>
  <c r="Q729"/>
  <c r="Q738"/>
  <c r="Q741"/>
  <c r="Q766"/>
  <c r="Q716"/>
  <c r="Q780"/>
  <c r="Q791"/>
  <c r="Q799"/>
  <c r="Q805"/>
  <c r="Q808"/>
  <c r="Q818"/>
  <c r="Q779"/>
  <c r="Q343"/>
  <c r="R345"/>
  <c r="R357"/>
  <c r="R368"/>
  <c r="R374"/>
  <c r="R386"/>
  <c r="R344"/>
  <c r="R416"/>
  <c r="R428"/>
  <c r="R437"/>
  <c r="R447"/>
  <c r="R475"/>
  <c r="R415"/>
  <c r="R482"/>
  <c r="R493"/>
  <c r="R500"/>
  <c r="R503"/>
  <c r="R524"/>
  <c r="R481"/>
  <c r="R539"/>
  <c r="R548"/>
  <c r="R559"/>
  <c r="R562"/>
  <c r="R574"/>
  <c r="R538"/>
  <c r="R601"/>
  <c r="R611"/>
  <c r="R618"/>
  <c r="R621"/>
  <c r="R630"/>
  <c r="R600"/>
  <c r="R659"/>
  <c r="R670"/>
  <c r="R678"/>
  <c r="R688"/>
  <c r="R713"/>
  <c r="R658"/>
  <c r="R717"/>
  <c r="R729"/>
  <c r="R738"/>
  <c r="R741"/>
  <c r="R766"/>
  <c r="R716"/>
  <c r="R780"/>
  <c r="R791"/>
  <c r="R799"/>
  <c r="R805"/>
  <c r="R808"/>
  <c r="R818"/>
  <c r="R779"/>
  <c r="R343"/>
  <c r="S345"/>
  <c r="S357"/>
  <c r="S368"/>
  <c r="S374"/>
  <c r="S386"/>
  <c r="S344"/>
  <c r="S416"/>
  <c r="S428"/>
  <c r="S437"/>
  <c r="S447"/>
  <c r="S475"/>
  <c r="S415"/>
  <c r="S482"/>
  <c r="S493"/>
  <c r="S500"/>
  <c r="S503"/>
  <c r="S524"/>
  <c r="S481"/>
  <c r="S539"/>
  <c r="S548"/>
  <c r="S559"/>
  <c r="S562"/>
  <c r="S574"/>
  <c r="S538"/>
  <c r="S601"/>
  <c r="S611"/>
  <c r="S618"/>
  <c r="S621"/>
  <c r="S630"/>
  <c r="S600"/>
  <c r="S659"/>
  <c r="S670"/>
  <c r="S678"/>
  <c r="S688"/>
  <c r="S713"/>
  <c r="S658"/>
  <c r="S717"/>
  <c r="S729"/>
  <c r="S738"/>
  <c r="S741"/>
  <c r="S766"/>
  <c r="S716"/>
  <c r="S780"/>
  <c r="S791"/>
  <c r="S799"/>
  <c r="S805"/>
  <c r="S808"/>
  <c r="S818"/>
  <c r="S779"/>
  <c r="S343"/>
  <c r="T345"/>
  <c r="T357"/>
  <c r="T368"/>
  <c r="T374"/>
  <c r="T386"/>
  <c r="T344"/>
  <c r="T416"/>
  <c r="T428"/>
  <c r="T437"/>
  <c r="T447"/>
  <c r="T475"/>
  <c r="T415"/>
  <c r="T482"/>
  <c r="T493"/>
  <c r="T500"/>
  <c r="T503"/>
  <c r="T524"/>
  <c r="T481"/>
  <c r="T539"/>
  <c r="T548"/>
  <c r="T559"/>
  <c r="T562"/>
  <c r="T574"/>
  <c r="T538"/>
  <c r="T601"/>
  <c r="T611"/>
  <c r="T618"/>
  <c r="T621"/>
  <c r="T630"/>
  <c r="T600"/>
  <c r="T659"/>
  <c r="T670"/>
  <c r="T678"/>
  <c r="T688"/>
  <c r="T713"/>
  <c r="T658"/>
  <c r="T717"/>
  <c r="T729"/>
  <c r="T738"/>
  <c r="T741"/>
  <c r="T766"/>
  <c r="T716"/>
  <c r="T780"/>
  <c r="T791"/>
  <c r="T799"/>
  <c r="T805"/>
  <c r="T808"/>
  <c r="T818"/>
  <c r="T779"/>
  <c r="T343"/>
  <c r="U345"/>
  <c r="U357"/>
  <c r="U368"/>
  <c r="U374"/>
  <c r="U386"/>
  <c r="U344"/>
  <c r="U416"/>
  <c r="U428"/>
  <c r="U437"/>
  <c r="U447"/>
  <c r="U475"/>
  <c r="U415"/>
  <c r="U482"/>
  <c r="U493"/>
  <c r="U500"/>
  <c r="U503"/>
  <c r="U524"/>
  <c r="U481"/>
  <c r="U539"/>
  <c r="U548"/>
  <c r="U559"/>
  <c r="U562"/>
  <c r="U574"/>
  <c r="U538"/>
  <c r="U601"/>
  <c r="U611"/>
  <c r="U618"/>
  <c r="U621"/>
  <c r="U630"/>
  <c r="U600"/>
  <c r="U659"/>
  <c r="U670"/>
  <c r="U678"/>
  <c r="U688"/>
  <c r="U713"/>
  <c r="U658"/>
  <c r="U717"/>
  <c r="U729"/>
  <c r="U738"/>
  <c r="U741"/>
  <c r="U766"/>
  <c r="U716"/>
  <c r="U780"/>
  <c r="U791"/>
  <c r="U799"/>
  <c r="U805"/>
  <c r="U808"/>
  <c r="U818"/>
  <c r="U779"/>
  <c r="U343"/>
  <c r="V345"/>
  <c r="V357"/>
  <c r="V368"/>
  <c r="V374"/>
  <c r="V386"/>
  <c r="V344"/>
  <c r="V416"/>
  <c r="V428"/>
  <c r="V437"/>
  <c r="V447"/>
  <c r="V475"/>
  <c r="V415"/>
  <c r="V482"/>
  <c r="V493"/>
  <c r="V500"/>
  <c r="V503"/>
  <c r="V524"/>
  <c r="V481"/>
  <c r="V539"/>
  <c r="V548"/>
  <c r="V559"/>
  <c r="V562"/>
  <c r="V574"/>
  <c r="V538"/>
  <c r="V601"/>
  <c r="V611"/>
  <c r="V618"/>
  <c r="V621"/>
  <c r="V630"/>
  <c r="V600"/>
  <c r="V659"/>
  <c r="V670"/>
  <c r="V678"/>
  <c r="V688"/>
  <c r="V713"/>
  <c r="V658"/>
  <c r="V717"/>
  <c r="V729"/>
  <c r="V738"/>
  <c r="V741"/>
  <c r="V766"/>
  <c r="V716"/>
  <c r="V780"/>
  <c r="V791"/>
  <c r="V799"/>
  <c r="V805"/>
  <c r="V808"/>
  <c r="V818"/>
  <c r="V779"/>
  <c r="V343"/>
  <c r="W345"/>
  <c r="W357"/>
  <c r="W368"/>
  <c r="W374"/>
  <c r="W386"/>
  <c r="W344"/>
  <c r="W416"/>
  <c r="W428"/>
  <c r="W437"/>
  <c r="W447"/>
  <c r="W475"/>
  <c r="W415"/>
  <c r="W482"/>
  <c r="W493"/>
  <c r="W500"/>
  <c r="W503"/>
  <c r="W524"/>
  <c r="W481"/>
  <c r="W539"/>
  <c r="W548"/>
  <c r="W559"/>
  <c r="W562"/>
  <c r="W574"/>
  <c r="W538"/>
  <c r="W601"/>
  <c r="W611"/>
  <c r="W618"/>
  <c r="W621"/>
  <c r="W630"/>
  <c r="W600"/>
  <c r="W659"/>
  <c r="W670"/>
  <c r="W678"/>
  <c r="W688"/>
  <c r="W713"/>
  <c r="W658"/>
  <c r="W717"/>
  <c r="W729"/>
  <c r="W738"/>
  <c r="W741"/>
  <c r="W766"/>
  <c r="W716"/>
  <c r="W780"/>
  <c r="W791"/>
  <c r="W799"/>
  <c r="W805"/>
  <c r="W808"/>
  <c r="W818"/>
  <c r="W779"/>
  <c r="W343"/>
  <c r="X345"/>
  <c r="X357"/>
  <c r="X368"/>
  <c r="X374"/>
  <c r="X386"/>
  <c r="X344"/>
  <c r="X416"/>
  <c r="X428"/>
  <c r="X437"/>
  <c r="X447"/>
  <c r="X475"/>
  <c r="X415"/>
  <c r="X482"/>
  <c r="X493"/>
  <c r="X500"/>
  <c r="X503"/>
  <c r="X524"/>
  <c r="X481"/>
  <c r="X539"/>
  <c r="X548"/>
  <c r="X559"/>
  <c r="X562"/>
  <c r="X574"/>
  <c r="X538"/>
  <c r="X601"/>
  <c r="X611"/>
  <c r="X618"/>
  <c r="X621"/>
  <c r="X630"/>
  <c r="X600"/>
  <c r="X659"/>
  <c r="X670"/>
  <c r="X678"/>
  <c r="X688"/>
  <c r="X713"/>
  <c r="X658"/>
  <c r="X717"/>
  <c r="X729"/>
  <c r="X738"/>
  <c r="X741"/>
  <c r="X766"/>
  <c r="X716"/>
  <c r="X780"/>
  <c r="X791"/>
  <c r="X799"/>
  <c r="X805"/>
  <c r="X808"/>
  <c r="X818"/>
  <c r="X779"/>
  <c r="X343"/>
  <c r="Y345"/>
  <c r="Y357"/>
  <c r="Y368"/>
  <c r="Y371"/>
  <c r="Y374"/>
  <c r="Y386"/>
  <c r="Y344"/>
  <c r="Y416"/>
  <c r="Y428"/>
  <c r="Y437"/>
  <c r="Y447"/>
  <c r="Y475"/>
  <c r="Y415"/>
  <c r="Y482"/>
  <c r="Y493"/>
  <c r="Y500"/>
  <c r="Y524"/>
  <c r="Y481"/>
  <c r="Y539"/>
  <c r="Y548"/>
  <c r="Y559"/>
  <c r="Y562"/>
  <c r="Y574"/>
  <c r="Y538"/>
  <c r="Y601"/>
  <c r="Y611"/>
  <c r="Y618"/>
  <c r="Y630"/>
  <c r="Y600"/>
  <c r="Y659"/>
  <c r="Y670"/>
  <c r="Y678"/>
  <c r="Y688"/>
  <c r="Y713"/>
  <c r="Y658"/>
  <c r="Y717"/>
  <c r="Y729"/>
  <c r="Y738"/>
  <c r="Y766"/>
  <c r="Y716"/>
  <c r="Y780"/>
  <c r="Y791"/>
  <c r="Y799"/>
  <c r="Y805"/>
  <c r="Y808"/>
  <c r="Y818"/>
  <c r="Y779"/>
  <c r="Y343"/>
  <c r="Z343"/>
  <c r="F345"/>
  <c r="F357"/>
  <c r="F368"/>
  <c r="F371"/>
  <c r="F374"/>
  <c r="F386"/>
  <c r="F344"/>
  <c r="F416"/>
  <c r="F428"/>
  <c r="F437"/>
  <c r="F447"/>
  <c r="F475"/>
  <c r="F415"/>
  <c r="F482"/>
  <c r="F493"/>
  <c r="F500"/>
  <c r="F503"/>
  <c r="F524"/>
  <c r="F481"/>
  <c r="F539"/>
  <c r="F548"/>
  <c r="F559"/>
  <c r="F562"/>
  <c r="F574"/>
  <c r="F538"/>
  <c r="F601"/>
  <c r="F611"/>
  <c r="F618"/>
  <c r="F621"/>
  <c r="F630"/>
  <c r="F600"/>
  <c r="F659"/>
  <c r="F670"/>
  <c r="F678"/>
  <c r="F688"/>
  <c r="F713"/>
  <c r="F658"/>
  <c r="F717"/>
  <c r="F729"/>
  <c r="F738"/>
  <c r="F741"/>
  <c r="F766"/>
  <c r="F716"/>
  <c r="F780"/>
  <c r="F791"/>
  <c r="F799"/>
  <c r="F805"/>
  <c r="F808"/>
  <c r="F818"/>
  <c r="F779"/>
  <c r="F343"/>
  <c r="D343"/>
  <c r="C343"/>
  <c r="E345"/>
  <c r="E357"/>
  <c r="E368"/>
  <c r="E371"/>
  <c r="E374"/>
  <c r="E386"/>
  <c r="E344"/>
  <c r="E416"/>
  <c r="E428"/>
  <c r="E437"/>
  <c r="E447"/>
  <c r="E475"/>
  <c r="E415"/>
  <c r="E482"/>
  <c r="E493"/>
  <c r="E500"/>
  <c r="E524"/>
  <c r="E481"/>
  <c r="E539"/>
  <c r="E548"/>
  <c r="E559"/>
  <c r="E562"/>
  <c r="E574"/>
  <c r="E538"/>
  <c r="E601"/>
  <c r="E611"/>
  <c r="E618"/>
  <c r="E630"/>
  <c r="E600"/>
  <c r="E659"/>
  <c r="E670"/>
  <c r="E678"/>
  <c r="E688"/>
  <c r="E713"/>
  <c r="E658"/>
  <c r="E717"/>
  <c r="E729"/>
  <c r="E738"/>
  <c r="E766"/>
  <c r="E716"/>
  <c r="E780"/>
  <c r="E791"/>
  <c r="E799"/>
  <c r="E805"/>
  <c r="E808"/>
  <c r="E818"/>
  <c r="E779"/>
  <c r="E343"/>
  <c r="E320"/>
  <c r="E323"/>
  <c r="E331"/>
  <c r="E337"/>
  <c r="E339"/>
  <c r="E330"/>
  <c r="E281"/>
  <c r="E239"/>
  <c r="E246"/>
  <c r="E250"/>
  <c r="E255"/>
  <c r="E260"/>
  <c r="E264"/>
  <c r="E266"/>
  <c r="E270"/>
  <c r="E272"/>
  <c r="E275"/>
  <c r="E279"/>
  <c r="E238"/>
  <c r="F91"/>
  <c r="F113"/>
  <c r="F90"/>
  <c r="F122"/>
  <c r="F129"/>
  <c r="F134"/>
  <c r="F138"/>
  <c r="F143"/>
  <c r="F179"/>
  <c r="F207"/>
  <c r="F234"/>
  <c r="F89"/>
  <c r="F12"/>
  <c r="F19"/>
  <c r="F25"/>
  <c r="F33"/>
  <c r="F39"/>
  <c r="F45"/>
  <c r="F50"/>
  <c r="F57"/>
  <c r="F64"/>
  <c r="F70"/>
  <c r="F78"/>
  <c r="F84"/>
  <c r="F77"/>
  <c r="F11"/>
  <c r="F239"/>
  <c r="F246"/>
  <c r="F250"/>
  <c r="F255"/>
  <c r="F260"/>
  <c r="F264"/>
  <c r="F266"/>
  <c r="F270"/>
  <c r="F272"/>
  <c r="F275"/>
  <c r="F279"/>
  <c r="F238"/>
  <c r="F320"/>
  <c r="F323"/>
  <c r="F331"/>
  <c r="F337"/>
  <c r="F339"/>
  <c r="F330"/>
  <c r="F281"/>
  <c r="F10"/>
  <c r="G12"/>
  <c r="G19"/>
  <c r="G25"/>
  <c r="G33"/>
  <c r="G39"/>
  <c r="G45"/>
  <c r="G50"/>
  <c r="G57"/>
  <c r="G64"/>
  <c r="G70"/>
  <c r="G78"/>
  <c r="G84"/>
  <c r="G77"/>
  <c r="G11"/>
  <c r="G91"/>
  <c r="G113"/>
  <c r="G90"/>
  <c r="G122"/>
  <c r="G129"/>
  <c r="G134"/>
  <c r="G138"/>
  <c r="G143"/>
  <c r="G179"/>
  <c r="G207"/>
  <c r="G234"/>
  <c r="G89"/>
  <c r="G239"/>
  <c r="G246"/>
  <c r="G250"/>
  <c r="G255"/>
  <c r="G260"/>
  <c r="G264"/>
  <c r="G266"/>
  <c r="G270"/>
  <c r="G272"/>
  <c r="G275"/>
  <c r="G279"/>
  <c r="G238"/>
  <c r="G320"/>
  <c r="G323"/>
  <c r="G331"/>
  <c r="G337"/>
  <c r="G339"/>
  <c r="G330"/>
  <c r="G281"/>
  <c r="G10"/>
  <c r="H12"/>
  <c r="H19"/>
  <c r="H25"/>
  <c r="H33"/>
  <c r="H39"/>
  <c r="H45"/>
  <c r="H50"/>
  <c r="H57"/>
  <c r="H64"/>
  <c r="H70"/>
  <c r="H78"/>
  <c r="H84"/>
  <c r="H77"/>
  <c r="H11"/>
  <c r="H91"/>
  <c r="H113"/>
  <c r="H90"/>
  <c r="H122"/>
  <c r="H129"/>
  <c r="H134"/>
  <c r="H138"/>
  <c r="H143"/>
  <c r="H179"/>
  <c r="H207"/>
  <c r="H234"/>
  <c r="H89"/>
  <c r="H239"/>
  <c r="H246"/>
  <c r="H250"/>
  <c r="H255"/>
  <c r="H260"/>
  <c r="H264"/>
  <c r="H266"/>
  <c r="H270"/>
  <c r="H272"/>
  <c r="H275"/>
  <c r="H279"/>
  <c r="H238"/>
  <c r="H320"/>
  <c r="H323"/>
  <c r="H331"/>
  <c r="H339"/>
  <c r="H330"/>
  <c r="H281"/>
  <c r="H10"/>
  <c r="I12"/>
  <c r="I19"/>
  <c r="I25"/>
  <c r="I33"/>
  <c r="I39"/>
  <c r="I45"/>
  <c r="I50"/>
  <c r="I57"/>
  <c r="I64"/>
  <c r="I70"/>
  <c r="I78"/>
  <c r="I84"/>
  <c r="I77"/>
  <c r="I11"/>
  <c r="I91"/>
  <c r="I113"/>
  <c r="I90"/>
  <c r="I122"/>
  <c r="I129"/>
  <c r="I134"/>
  <c r="I138"/>
  <c r="I143"/>
  <c r="I179"/>
  <c r="I207"/>
  <c r="I234"/>
  <c r="I89"/>
  <c r="I239"/>
  <c r="I246"/>
  <c r="I250"/>
  <c r="I255"/>
  <c r="I260"/>
  <c r="I264"/>
  <c r="I266"/>
  <c r="I270"/>
  <c r="I272"/>
  <c r="I275"/>
  <c r="I279"/>
  <c r="I238"/>
  <c r="I320"/>
  <c r="I323"/>
  <c r="I331"/>
  <c r="I339"/>
  <c r="I330"/>
  <c r="I281"/>
  <c r="I10"/>
  <c r="J12"/>
  <c r="J19"/>
  <c r="J25"/>
  <c r="J33"/>
  <c r="J39"/>
  <c r="J45"/>
  <c r="J50"/>
  <c r="J57"/>
  <c r="J70"/>
  <c r="J78"/>
  <c r="J84"/>
  <c r="J77"/>
  <c r="J11"/>
  <c r="J91"/>
  <c r="J113"/>
  <c r="J90"/>
  <c r="J122"/>
  <c r="J129"/>
  <c r="J134"/>
  <c r="J138"/>
  <c r="J143"/>
  <c r="J179"/>
  <c r="J207"/>
  <c r="J234"/>
  <c r="J89"/>
  <c r="J239"/>
  <c r="J246"/>
  <c r="J250"/>
  <c r="J255"/>
  <c r="J260"/>
  <c r="J264"/>
  <c r="J266"/>
  <c r="J270"/>
  <c r="J272"/>
  <c r="J275"/>
  <c r="J279"/>
  <c r="J238"/>
  <c r="J320"/>
  <c r="J323"/>
  <c r="J339"/>
  <c r="J330"/>
  <c r="J281"/>
  <c r="J10"/>
  <c r="K12"/>
  <c r="K19"/>
  <c r="K25"/>
  <c r="K33"/>
  <c r="K39"/>
  <c r="K45"/>
  <c r="K50"/>
  <c r="K57"/>
  <c r="K70"/>
  <c r="K78"/>
  <c r="K84"/>
  <c r="K77"/>
  <c r="K11"/>
  <c r="K91"/>
  <c r="K113"/>
  <c r="K90"/>
  <c r="K122"/>
  <c r="K129"/>
  <c r="K134"/>
  <c r="K138"/>
  <c r="K143"/>
  <c r="K179"/>
  <c r="K207"/>
  <c r="K234"/>
  <c r="K89"/>
  <c r="K239"/>
  <c r="K246"/>
  <c r="K250"/>
  <c r="K255"/>
  <c r="K260"/>
  <c r="K264"/>
  <c r="K266"/>
  <c r="K270"/>
  <c r="K272"/>
  <c r="K275"/>
  <c r="K279"/>
  <c r="K238"/>
  <c r="K320"/>
  <c r="K323"/>
  <c r="K339"/>
  <c r="K330"/>
  <c r="K281"/>
  <c r="K10"/>
  <c r="L12"/>
  <c r="L19"/>
  <c r="L25"/>
  <c r="L33"/>
  <c r="L39"/>
  <c r="L45"/>
  <c r="L50"/>
  <c r="L57"/>
  <c r="L70"/>
  <c r="L78"/>
  <c r="L84"/>
  <c r="L77"/>
  <c r="L11"/>
  <c r="L91"/>
  <c r="L113"/>
  <c r="L90"/>
  <c r="L122"/>
  <c r="L129"/>
  <c r="L134"/>
  <c r="L138"/>
  <c r="L143"/>
  <c r="L179"/>
  <c r="L207"/>
  <c r="L234"/>
  <c r="L89"/>
  <c r="L239"/>
  <c r="L246"/>
  <c r="L250"/>
  <c r="L255"/>
  <c r="L260"/>
  <c r="L264"/>
  <c r="L266"/>
  <c r="L270"/>
  <c r="L272"/>
  <c r="L275"/>
  <c r="L279"/>
  <c r="L238"/>
  <c r="L320"/>
  <c r="L323"/>
  <c r="L339"/>
  <c r="L330"/>
  <c r="L281"/>
  <c r="L10"/>
  <c r="M12"/>
  <c r="M19"/>
  <c r="M25"/>
  <c r="M33"/>
  <c r="M39"/>
  <c r="M45"/>
  <c r="M50"/>
  <c r="M57"/>
  <c r="M70"/>
  <c r="M78"/>
  <c r="M84"/>
  <c r="M77"/>
  <c r="M11"/>
  <c r="M91"/>
  <c r="M113"/>
  <c r="M90"/>
  <c r="M122"/>
  <c r="M129"/>
  <c r="M134"/>
  <c r="M138"/>
  <c r="M143"/>
  <c r="M179"/>
  <c r="M207"/>
  <c r="M234"/>
  <c r="M89"/>
  <c r="M239"/>
  <c r="M246"/>
  <c r="M250"/>
  <c r="M255"/>
  <c r="M260"/>
  <c r="M264"/>
  <c r="M266"/>
  <c r="M270"/>
  <c r="M272"/>
  <c r="M275"/>
  <c r="M279"/>
  <c r="M238"/>
  <c r="M320"/>
  <c r="M323"/>
  <c r="M339"/>
  <c r="M330"/>
  <c r="M281"/>
  <c r="M10"/>
  <c r="N12"/>
  <c r="N19"/>
  <c r="N25"/>
  <c r="N33"/>
  <c r="N39"/>
  <c r="N45"/>
  <c r="N50"/>
  <c r="N57"/>
  <c r="N70"/>
  <c r="N78"/>
  <c r="N84"/>
  <c r="N77"/>
  <c r="N11"/>
  <c r="N91"/>
  <c r="N113"/>
  <c r="N90"/>
  <c r="N122"/>
  <c r="N129"/>
  <c r="N134"/>
  <c r="N138"/>
  <c r="N143"/>
  <c r="N179"/>
  <c r="N207"/>
  <c r="N234"/>
  <c r="N89"/>
  <c r="N239"/>
  <c r="N246"/>
  <c r="N250"/>
  <c r="N255"/>
  <c r="N260"/>
  <c r="N264"/>
  <c r="N266"/>
  <c r="N270"/>
  <c r="N272"/>
  <c r="N275"/>
  <c r="N279"/>
  <c r="N238"/>
  <c r="N320"/>
  <c r="N323"/>
  <c r="N339"/>
  <c r="N330"/>
  <c r="N281"/>
  <c r="N10"/>
  <c r="O12"/>
  <c r="O19"/>
  <c r="O25"/>
  <c r="O33"/>
  <c r="O39"/>
  <c r="O45"/>
  <c r="O50"/>
  <c r="O57"/>
  <c r="O70"/>
  <c r="O78"/>
  <c r="O84"/>
  <c r="O77"/>
  <c r="O11"/>
  <c r="O91"/>
  <c r="O113"/>
  <c r="O90"/>
  <c r="O122"/>
  <c r="O129"/>
  <c r="O134"/>
  <c r="O138"/>
  <c r="O143"/>
  <c r="O179"/>
  <c r="O207"/>
  <c r="O234"/>
  <c r="O89"/>
  <c r="O239"/>
  <c r="O246"/>
  <c r="O250"/>
  <c r="O255"/>
  <c r="O260"/>
  <c r="O264"/>
  <c r="O266"/>
  <c r="O270"/>
  <c r="O272"/>
  <c r="O275"/>
  <c r="O279"/>
  <c r="O238"/>
  <c r="O320"/>
  <c r="O323"/>
  <c r="O339"/>
  <c r="O330"/>
  <c r="O281"/>
  <c r="O10"/>
  <c r="P12"/>
  <c r="P19"/>
  <c r="P25"/>
  <c r="P33"/>
  <c r="P39"/>
  <c r="P45"/>
  <c r="P50"/>
  <c r="P57"/>
  <c r="P70"/>
  <c r="P78"/>
  <c r="P84"/>
  <c r="P77"/>
  <c r="P11"/>
  <c r="P91"/>
  <c r="P113"/>
  <c r="P90"/>
  <c r="P122"/>
  <c r="P129"/>
  <c r="P134"/>
  <c r="P138"/>
  <c r="P143"/>
  <c r="P179"/>
  <c r="P207"/>
  <c r="P234"/>
  <c r="P89"/>
  <c r="P239"/>
  <c r="P246"/>
  <c r="P250"/>
  <c r="P255"/>
  <c r="P260"/>
  <c r="P264"/>
  <c r="P266"/>
  <c r="P270"/>
  <c r="P272"/>
  <c r="P275"/>
  <c r="P279"/>
  <c r="P238"/>
  <c r="P320"/>
  <c r="P323"/>
  <c r="P339"/>
  <c r="P330"/>
  <c r="P281"/>
  <c r="P10"/>
  <c r="Q12"/>
  <c r="Q19"/>
  <c r="Q25"/>
  <c r="Q33"/>
  <c r="Q39"/>
  <c r="Q45"/>
  <c r="Q50"/>
  <c r="Q57"/>
  <c r="Q70"/>
  <c r="Q78"/>
  <c r="Q84"/>
  <c r="Q77"/>
  <c r="Q11"/>
  <c r="Q91"/>
  <c r="Q113"/>
  <c r="Q90"/>
  <c r="Q122"/>
  <c r="Q129"/>
  <c r="Q134"/>
  <c r="Q138"/>
  <c r="Q143"/>
  <c r="Q179"/>
  <c r="Q207"/>
  <c r="Q234"/>
  <c r="Q89"/>
  <c r="Q239"/>
  <c r="Q246"/>
  <c r="Q250"/>
  <c r="Q255"/>
  <c r="Q260"/>
  <c r="Q264"/>
  <c r="Q266"/>
  <c r="Q270"/>
  <c r="Q272"/>
  <c r="Q275"/>
  <c r="Q279"/>
  <c r="Q238"/>
  <c r="Q320"/>
  <c r="Q323"/>
  <c r="Q339"/>
  <c r="Q330"/>
  <c r="Q281"/>
  <c r="Q10"/>
  <c r="R12"/>
  <c r="R19"/>
  <c r="R25"/>
  <c r="R33"/>
  <c r="R39"/>
  <c r="R45"/>
  <c r="R50"/>
  <c r="R57"/>
  <c r="R70"/>
  <c r="R78"/>
  <c r="R84"/>
  <c r="R77"/>
  <c r="R11"/>
  <c r="R91"/>
  <c r="R113"/>
  <c r="R90"/>
  <c r="R122"/>
  <c r="R129"/>
  <c r="R134"/>
  <c r="R138"/>
  <c r="R143"/>
  <c r="R179"/>
  <c r="R207"/>
  <c r="R234"/>
  <c r="R89"/>
  <c r="R239"/>
  <c r="R246"/>
  <c r="R250"/>
  <c r="R255"/>
  <c r="R260"/>
  <c r="R264"/>
  <c r="R266"/>
  <c r="R270"/>
  <c r="R272"/>
  <c r="R275"/>
  <c r="R279"/>
  <c r="R238"/>
  <c r="R320"/>
  <c r="R323"/>
  <c r="R339"/>
  <c r="R330"/>
  <c r="R281"/>
  <c r="R10"/>
  <c r="S12"/>
  <c r="S19"/>
  <c r="S25"/>
  <c r="S33"/>
  <c r="S39"/>
  <c r="S45"/>
  <c r="S50"/>
  <c r="S57"/>
  <c r="S70"/>
  <c r="S78"/>
  <c r="S84"/>
  <c r="S77"/>
  <c r="S11"/>
  <c r="S91"/>
  <c r="S113"/>
  <c r="S90"/>
  <c r="S122"/>
  <c r="S129"/>
  <c r="S134"/>
  <c r="S138"/>
  <c r="S143"/>
  <c r="S179"/>
  <c r="S207"/>
  <c r="S234"/>
  <c r="S89"/>
  <c r="S239"/>
  <c r="S246"/>
  <c r="S250"/>
  <c r="S255"/>
  <c r="S260"/>
  <c r="S264"/>
  <c r="S266"/>
  <c r="S270"/>
  <c r="S272"/>
  <c r="S275"/>
  <c r="S279"/>
  <c r="S238"/>
  <c r="S320"/>
  <c r="S323"/>
  <c r="S339"/>
  <c r="S330"/>
  <c r="S281"/>
  <c r="S10"/>
  <c r="T12"/>
  <c r="T19"/>
  <c r="T25"/>
  <c r="T33"/>
  <c r="T39"/>
  <c r="T45"/>
  <c r="T50"/>
  <c r="T57"/>
  <c r="T64"/>
  <c r="T70"/>
  <c r="T78"/>
  <c r="T84"/>
  <c r="T77"/>
  <c r="T11"/>
  <c r="T91"/>
  <c r="T113"/>
  <c r="T90"/>
  <c r="T122"/>
  <c r="T129"/>
  <c r="T134"/>
  <c r="T138"/>
  <c r="T143"/>
  <c r="T179"/>
  <c r="T207"/>
  <c r="T234"/>
  <c r="T89"/>
  <c r="T239"/>
  <c r="T246"/>
  <c r="T250"/>
  <c r="T255"/>
  <c r="T260"/>
  <c r="T264"/>
  <c r="T266"/>
  <c r="T270"/>
  <c r="T272"/>
  <c r="T275"/>
  <c r="T279"/>
  <c r="T238"/>
  <c r="T320"/>
  <c r="T323"/>
  <c r="T339"/>
  <c r="T330"/>
  <c r="T281"/>
  <c r="T10"/>
  <c r="U12"/>
  <c r="U19"/>
  <c r="U25"/>
  <c r="U33"/>
  <c r="U39"/>
  <c r="U45"/>
  <c r="U50"/>
  <c r="U57"/>
  <c r="U64"/>
  <c r="U70"/>
  <c r="U78"/>
  <c r="U84"/>
  <c r="U77"/>
  <c r="U11"/>
  <c r="U91"/>
  <c r="U113"/>
  <c r="U90"/>
  <c r="U122"/>
  <c r="U129"/>
  <c r="U134"/>
  <c r="U138"/>
  <c r="U143"/>
  <c r="U179"/>
  <c r="U207"/>
  <c r="U234"/>
  <c r="U89"/>
  <c r="U239"/>
  <c r="U246"/>
  <c r="U250"/>
  <c r="U255"/>
  <c r="U260"/>
  <c r="U264"/>
  <c r="U266"/>
  <c r="U270"/>
  <c r="U272"/>
  <c r="U275"/>
  <c r="U279"/>
  <c r="U238"/>
  <c r="U320"/>
  <c r="U323"/>
  <c r="U339"/>
  <c r="U330"/>
  <c r="U281"/>
  <c r="U10"/>
  <c r="V12"/>
  <c r="V19"/>
  <c r="V25"/>
  <c r="V33"/>
  <c r="V39"/>
  <c r="V45"/>
  <c r="V50"/>
  <c r="V57"/>
  <c r="V64"/>
  <c r="V70"/>
  <c r="V78"/>
  <c r="V84"/>
  <c r="V77"/>
  <c r="V11"/>
  <c r="V91"/>
  <c r="V113"/>
  <c r="V90"/>
  <c r="V122"/>
  <c r="V129"/>
  <c r="V134"/>
  <c r="V138"/>
  <c r="V143"/>
  <c r="V179"/>
  <c r="V207"/>
  <c r="V234"/>
  <c r="V89"/>
  <c r="V239"/>
  <c r="V246"/>
  <c r="V250"/>
  <c r="V255"/>
  <c r="V260"/>
  <c r="V264"/>
  <c r="V266"/>
  <c r="V270"/>
  <c r="V272"/>
  <c r="V275"/>
  <c r="V279"/>
  <c r="V238"/>
  <c r="V320"/>
  <c r="V323"/>
  <c r="V339"/>
  <c r="V330"/>
  <c r="V281"/>
  <c r="V10"/>
  <c r="W12"/>
  <c r="W19"/>
  <c r="W25"/>
  <c r="W33"/>
  <c r="W39"/>
  <c r="W45"/>
  <c r="W50"/>
  <c r="W57"/>
  <c r="W64"/>
  <c r="W70"/>
  <c r="W78"/>
  <c r="W84"/>
  <c r="W77"/>
  <c r="W11"/>
  <c r="W91"/>
  <c r="W113"/>
  <c r="W90"/>
  <c r="W122"/>
  <c r="W129"/>
  <c r="W134"/>
  <c r="W138"/>
  <c r="W143"/>
  <c r="W179"/>
  <c r="W207"/>
  <c r="W234"/>
  <c r="W89"/>
  <c r="W239"/>
  <c r="W246"/>
  <c r="W250"/>
  <c r="W255"/>
  <c r="W260"/>
  <c r="W264"/>
  <c r="W266"/>
  <c r="W270"/>
  <c r="W272"/>
  <c r="W275"/>
  <c r="W279"/>
  <c r="W238"/>
  <c r="W320"/>
  <c r="W323"/>
  <c r="W339"/>
  <c r="W330"/>
  <c r="W281"/>
  <c r="W10"/>
  <c r="X12"/>
  <c r="X19"/>
  <c r="X25"/>
  <c r="X33"/>
  <c r="X39"/>
  <c r="X45"/>
  <c r="X50"/>
  <c r="X57"/>
  <c r="X64"/>
  <c r="X70"/>
  <c r="X78"/>
  <c r="X84"/>
  <c r="X77"/>
  <c r="X11"/>
  <c r="X91"/>
  <c r="X113"/>
  <c r="X90"/>
  <c r="X122"/>
  <c r="X129"/>
  <c r="X134"/>
  <c r="X138"/>
  <c r="X143"/>
  <c r="X179"/>
  <c r="X207"/>
  <c r="X234"/>
  <c r="X89"/>
  <c r="X239"/>
  <c r="X246"/>
  <c r="X250"/>
  <c r="X255"/>
  <c r="X260"/>
  <c r="X264"/>
  <c r="X266"/>
  <c r="X270"/>
  <c r="X272"/>
  <c r="X275"/>
  <c r="X279"/>
  <c r="X238"/>
  <c r="X320"/>
  <c r="X323"/>
  <c r="X331"/>
  <c r="X337"/>
  <c r="X339"/>
  <c r="X330"/>
  <c r="X281"/>
  <c r="X10"/>
  <c r="Y12"/>
  <c r="Y19"/>
  <c r="Y25"/>
  <c r="Y33"/>
  <c r="Y39"/>
  <c r="Y45"/>
  <c r="Y50"/>
  <c r="Y57"/>
  <c r="Y64"/>
  <c r="Y70"/>
  <c r="Y78"/>
  <c r="Y84"/>
  <c r="Y77"/>
  <c r="Y11"/>
  <c r="Y91"/>
  <c r="Y113"/>
  <c r="Y90"/>
  <c r="Y122"/>
  <c r="Y129"/>
  <c r="Y134"/>
  <c r="Y138"/>
  <c r="Y143"/>
  <c r="Y179"/>
  <c r="Y207"/>
  <c r="Y234"/>
  <c r="Y89"/>
  <c r="Y239"/>
  <c r="Y246"/>
  <c r="Y250"/>
  <c r="Y255"/>
  <c r="Y260"/>
  <c r="Y264"/>
  <c r="Y266"/>
  <c r="Y270"/>
  <c r="Y272"/>
  <c r="Y275"/>
  <c r="Y279"/>
  <c r="Y238"/>
  <c r="Y320"/>
  <c r="Y323"/>
  <c r="Y331"/>
  <c r="Y337"/>
  <c r="Y339"/>
  <c r="Y330"/>
  <c r="Y281"/>
  <c r="Y10"/>
  <c r="Z11"/>
  <c r="Z89"/>
  <c r="Z238"/>
  <c r="Z281"/>
  <c r="Z10"/>
  <c r="D11"/>
  <c r="D89"/>
  <c r="D238"/>
  <c r="D330"/>
  <c r="D281"/>
  <c r="D10"/>
  <c r="E12"/>
  <c r="E19"/>
  <c r="E25"/>
  <c r="E33"/>
  <c r="E39"/>
  <c r="E45"/>
  <c r="E50"/>
  <c r="E57"/>
  <c r="E64"/>
  <c r="E70"/>
  <c r="E78"/>
  <c r="E84"/>
  <c r="E77"/>
  <c r="E11"/>
  <c r="E91"/>
  <c r="E113"/>
  <c r="E90"/>
  <c r="E122"/>
  <c r="E129"/>
  <c r="E134"/>
  <c r="E138"/>
  <c r="E143"/>
  <c r="E179"/>
  <c r="E207"/>
  <c r="E234"/>
  <c r="E89"/>
  <c r="E10"/>
  <c r="C11"/>
  <c r="C89"/>
  <c r="C238"/>
  <c r="C330"/>
  <c r="C281"/>
  <c r="C10"/>
  <c r="E23" i="15"/>
  <c r="F23"/>
  <c r="G23"/>
  <c r="H23"/>
  <c r="H22"/>
  <c r="G22"/>
  <c r="F22"/>
  <c r="E22"/>
  <c r="D22"/>
  <c r="E21"/>
  <c r="F21"/>
  <c r="G21"/>
  <c r="H21"/>
  <c r="E20"/>
  <c r="F20"/>
  <c r="G20"/>
  <c r="H20"/>
  <c r="H19"/>
  <c r="G19"/>
  <c r="F19"/>
  <c r="E19"/>
  <c r="D19"/>
  <c r="E18"/>
  <c r="F18"/>
  <c r="G18"/>
  <c r="H18"/>
  <c r="H17"/>
  <c r="G17"/>
  <c r="F17"/>
  <c r="E17"/>
  <c r="D17"/>
  <c r="E16"/>
  <c r="F16"/>
  <c r="G16"/>
  <c r="H16"/>
  <c r="E15"/>
  <c r="F15"/>
  <c r="G15"/>
  <c r="H15"/>
  <c r="H14"/>
  <c r="G14"/>
  <c r="F14"/>
  <c r="E14"/>
  <c r="D14"/>
  <c r="H13"/>
  <c r="G13"/>
  <c r="F13"/>
  <c r="E13"/>
  <c r="D13"/>
  <c r="C13"/>
  <c r="Y765" i="19"/>
  <c r="Z765"/>
  <c r="Y764"/>
  <c r="Z764"/>
  <c r="Y763"/>
  <c r="Z763"/>
  <c r="Y762"/>
  <c r="Z762"/>
  <c r="Y761"/>
  <c r="Z761"/>
  <c r="Y760"/>
  <c r="Z760"/>
  <c r="Y759"/>
  <c r="Z759"/>
  <c r="Y758"/>
  <c r="Z758"/>
  <c r="Y757"/>
  <c r="Z757"/>
  <c r="Y756"/>
  <c r="Z756"/>
  <c r="Y755"/>
  <c r="Z755"/>
  <c r="Y754"/>
  <c r="Z754"/>
  <c r="Y753"/>
  <c r="Z753"/>
  <c r="Y752"/>
  <c r="Z752"/>
  <c r="Y751"/>
  <c r="Z751"/>
  <c r="Y750"/>
  <c r="Z750"/>
  <c r="Y749"/>
  <c r="Z749"/>
  <c r="Y748"/>
  <c r="Z748"/>
  <c r="Y747"/>
  <c r="Z747"/>
  <c r="Y746"/>
  <c r="Z746"/>
  <c r="Y745"/>
  <c r="Z745"/>
  <c r="Y744"/>
  <c r="Z744"/>
  <c r="Y743"/>
  <c r="Z743"/>
  <c r="Y742"/>
  <c r="Z742"/>
  <c r="Y629"/>
  <c r="Z629"/>
  <c r="Y628"/>
  <c r="Z628"/>
  <c r="Y627"/>
  <c r="Z627"/>
  <c r="Y626"/>
  <c r="Z626"/>
  <c r="Y625"/>
  <c r="Z625"/>
  <c r="Y624"/>
  <c r="Z624"/>
  <c r="Y623"/>
  <c r="Z623"/>
  <c r="Y622"/>
  <c r="Z622"/>
  <c r="C620"/>
  <c r="Y523"/>
  <c r="Z523"/>
  <c r="Y522"/>
  <c r="Z522"/>
  <c r="Y521"/>
  <c r="Z521"/>
  <c r="Y520"/>
  <c r="Z520"/>
  <c r="Y519"/>
  <c r="Z519"/>
  <c r="Y518"/>
  <c r="Z518"/>
  <c r="Y517"/>
  <c r="Z517"/>
  <c r="Y516"/>
  <c r="Z516"/>
  <c r="Y515"/>
  <c r="Z515"/>
  <c r="Y514"/>
  <c r="Z514"/>
  <c r="Y513"/>
  <c r="Z513"/>
  <c r="Y512"/>
  <c r="Z512"/>
  <c r="Y511"/>
  <c r="Z511"/>
  <c r="Y510"/>
  <c r="Z510"/>
  <c r="Y509"/>
  <c r="Z509"/>
  <c r="Y508"/>
  <c r="Z508"/>
  <c r="Y507"/>
  <c r="Z507"/>
  <c r="Y506"/>
  <c r="Z506"/>
  <c r="Y505"/>
  <c r="Z505"/>
  <c r="Y504"/>
  <c r="Z504"/>
  <c r="Y480"/>
  <c r="Z480"/>
  <c r="Y479"/>
  <c r="Z479"/>
  <c r="Y478"/>
  <c r="Z478"/>
  <c r="D475"/>
  <c r="C475"/>
  <c r="R436"/>
  <c r="T436"/>
  <c r="G436"/>
  <c r="X436"/>
  <c r="E436"/>
  <c r="Y436"/>
  <c r="Z436"/>
  <c r="AA343"/>
  <c r="AC321"/>
  <c r="AC322"/>
  <c r="AB321"/>
  <c r="AB322"/>
  <c r="AC323"/>
  <c r="AA131"/>
  <c r="AA132"/>
  <c r="AA137"/>
  <c r="AA139"/>
  <c r="AA138"/>
  <c r="AA140"/>
  <c r="AB129"/>
  <c r="AB130"/>
  <c r="AB131"/>
  <c r="AB132"/>
  <c r="AB133"/>
  <c r="AB134"/>
  <c r="AB135"/>
  <c r="AB136"/>
  <c r="AB137"/>
  <c r="D84"/>
  <c r="C84"/>
  <c r="D78"/>
  <c r="C78"/>
  <c r="D41" i="20"/>
  <c r="E41"/>
  <c r="C41"/>
  <c r="F41"/>
</calcChain>
</file>

<file path=xl/comments1.xml><?xml version="1.0" encoding="utf-8"?>
<comments xmlns="http://schemas.openxmlformats.org/spreadsheetml/2006/main">
  <authors>
    <author>Author</author>
  </authors>
  <commentList>
    <comment ref="W15" authorId="0">
      <text>
        <r>
          <rPr>
            <b/>
            <sz val="9"/>
            <color indexed="81"/>
            <rFont val="Tahoma"/>
            <family val="2"/>
            <charset val="163"/>
          </rPr>
          <t>Author:</t>
        </r>
        <r>
          <rPr>
            <sz val="9"/>
            <color indexed="81"/>
            <rFont val="Tahoma"/>
            <family val="2"/>
            <charset val="163"/>
          </rPr>
          <t xml:space="preserve">
P Cđộc hại, TN nghe</t>
        </r>
      </text>
    </comment>
    <comment ref="B24" authorId="0">
      <text>
        <r>
          <rPr>
            <b/>
            <sz val="8"/>
            <color indexed="81"/>
            <rFont val="Tahoma"/>
          </rPr>
          <t>Author:</t>
        </r>
        <r>
          <rPr>
            <sz val="8"/>
            <color indexed="81"/>
            <rFont val="Tahoma"/>
          </rPr>
          <t xml:space="preserve">
Nghỉ hộ sản từ tháng 7-9</t>
        </r>
      </text>
    </comment>
    <comment ref="W125" authorId="0">
      <text>
        <r>
          <rPr>
            <b/>
            <sz val="8"/>
            <color indexed="81"/>
            <rFont val="Tahoma"/>
          </rPr>
          <t>Author:</t>
        </r>
        <r>
          <rPr>
            <sz val="8"/>
            <color indexed="81"/>
            <rFont val="Tahoma"/>
          </rPr>
          <t xml:space="preserve">
PC bảo vệ chính trị nội bộ</t>
        </r>
      </text>
    </comment>
    <comment ref="W292" authorId="0">
      <text>
        <r>
          <rPr>
            <b/>
            <sz val="8"/>
            <color indexed="81"/>
            <rFont val="Tahoma"/>
          </rPr>
          <t>Author:</t>
        </r>
        <r>
          <rPr>
            <sz val="8"/>
            <color indexed="81"/>
            <rFont val="Tahoma"/>
          </rPr>
          <t xml:space="preserve">
710tre *10%</t>
        </r>
      </text>
    </comment>
    <comment ref="B323" authorId="0">
      <text>
        <r>
          <rPr>
            <b/>
            <sz val="8"/>
            <color indexed="81"/>
            <rFont val="Tahoma"/>
            <charset val="163"/>
          </rPr>
          <t>Author:</t>
        </r>
        <r>
          <rPr>
            <sz val="8"/>
            <color indexed="81"/>
            <rFont val="Tahoma"/>
            <charset val="163"/>
          </rPr>
          <t xml:space="preserve">
Nguồn thu sự nghiệp đủ để thực hiện</t>
        </r>
      </text>
    </comment>
    <comment ref="B347" authorId="0">
      <text>
        <r>
          <rPr>
            <b/>
            <sz val="8"/>
            <color indexed="81"/>
            <rFont val="Tahoma"/>
          </rPr>
          <t>Author:</t>
        </r>
        <r>
          <rPr>
            <sz val="8"/>
            <color indexed="81"/>
            <rFont val="Tahoma"/>
          </rPr>
          <t xml:space="preserve">
Thuộc biên chế Phòng Nội vụ</t>
        </r>
      </text>
    </comment>
    <comment ref="X372" authorId="0">
      <text>
        <r>
          <rPr>
            <b/>
            <sz val="8"/>
            <color indexed="81"/>
            <rFont val="Tahoma"/>
            <charset val="163"/>
          </rPr>
          <t>Author:</t>
        </r>
        <r>
          <rPr>
            <sz val="8"/>
            <color indexed="81"/>
            <rFont val="Tahoma"/>
            <charset val="163"/>
          </rPr>
          <t xml:space="preserve">
2x3%
</t>
        </r>
      </text>
    </comment>
    <comment ref="F373" authorId="0">
      <text>
        <r>
          <rPr>
            <b/>
            <sz val="8"/>
            <color indexed="81"/>
            <rFont val="Tahoma"/>
          </rPr>
          <t>Author:</t>
        </r>
        <r>
          <rPr>
            <sz val="8"/>
            <color indexed="81"/>
            <rFont val="Tahoma"/>
          </rPr>
          <t xml:space="preserve">
Có 2 thôn hệ số 5.
5 thôn hệ số 3
</t>
        </r>
      </text>
    </comment>
    <comment ref="X476" authorId="0">
      <text>
        <r>
          <rPr>
            <b/>
            <sz val="8"/>
            <color indexed="81"/>
            <rFont val="Tahoma"/>
            <charset val="163"/>
          </rPr>
          <t>Author:</t>
        </r>
        <r>
          <rPr>
            <sz val="8"/>
            <color indexed="81"/>
            <rFont val="Tahoma"/>
            <charset val="163"/>
          </rPr>
          <t xml:space="preserve">
2x3%
</t>
        </r>
      </text>
    </comment>
    <comment ref="X501" authorId="0">
      <text>
        <r>
          <rPr>
            <b/>
            <sz val="8"/>
            <color indexed="81"/>
            <rFont val="Tahoma"/>
            <charset val="163"/>
          </rPr>
          <t>Author:</t>
        </r>
        <r>
          <rPr>
            <sz val="8"/>
            <color indexed="81"/>
            <rFont val="Tahoma"/>
            <charset val="163"/>
          </rPr>
          <t xml:space="preserve">
2x3%
</t>
        </r>
      </text>
    </comment>
    <comment ref="X560" authorId="0">
      <text>
        <r>
          <rPr>
            <b/>
            <sz val="8"/>
            <color indexed="81"/>
            <rFont val="Tahoma"/>
            <charset val="163"/>
          </rPr>
          <t>Author:</t>
        </r>
        <r>
          <rPr>
            <sz val="8"/>
            <color indexed="81"/>
            <rFont val="Tahoma"/>
            <charset val="163"/>
          </rPr>
          <t xml:space="preserve">
2x3%
</t>
        </r>
      </text>
    </comment>
    <comment ref="X619" authorId="0">
      <text>
        <r>
          <rPr>
            <b/>
            <sz val="8"/>
            <color indexed="81"/>
            <rFont val="Tahoma"/>
            <charset val="163"/>
          </rPr>
          <t>Author:</t>
        </r>
        <r>
          <rPr>
            <sz val="8"/>
            <color indexed="81"/>
            <rFont val="Tahoma"/>
            <charset val="163"/>
          </rPr>
          <t xml:space="preserve">
2x3%
</t>
        </r>
      </text>
    </comment>
    <comment ref="X714" authorId="0">
      <text>
        <r>
          <rPr>
            <b/>
            <sz val="8"/>
            <color indexed="81"/>
            <rFont val="Tahoma"/>
            <charset val="163"/>
          </rPr>
          <t>Author:</t>
        </r>
        <r>
          <rPr>
            <sz val="8"/>
            <color indexed="81"/>
            <rFont val="Tahoma"/>
            <charset val="163"/>
          </rPr>
          <t xml:space="preserve">
2x3%
</t>
        </r>
      </text>
    </comment>
    <comment ref="E739" authorId="0">
      <text>
        <r>
          <rPr>
            <b/>
            <sz val="8"/>
            <color indexed="81"/>
            <rFont val="Tahoma"/>
          </rPr>
          <t>Author:</t>
        </r>
        <r>
          <rPr>
            <sz val="8"/>
            <color indexed="81"/>
            <rFont val="Tahoma"/>
          </rPr>
          <t xml:space="preserve">
có thêm hệ số 2 và 3% BHYT teho QĐ so 27 cua UBND tinh
</t>
        </r>
      </text>
    </comment>
    <comment ref="X739" authorId="0">
      <text>
        <r>
          <rPr>
            <b/>
            <sz val="8"/>
            <color indexed="81"/>
            <rFont val="Tahoma"/>
            <charset val="163"/>
          </rPr>
          <t>Author:</t>
        </r>
        <r>
          <rPr>
            <sz val="8"/>
            <color indexed="81"/>
            <rFont val="Tahoma"/>
            <charset val="163"/>
          </rPr>
          <t xml:space="preserve">
2x3%
</t>
        </r>
      </text>
    </comment>
    <comment ref="X806" authorId="0">
      <text>
        <r>
          <rPr>
            <b/>
            <sz val="8"/>
            <color indexed="81"/>
            <rFont val="Tahoma"/>
            <charset val="163"/>
          </rPr>
          <t>Author:</t>
        </r>
        <r>
          <rPr>
            <sz val="8"/>
            <color indexed="81"/>
            <rFont val="Tahoma"/>
            <charset val="163"/>
          </rPr>
          <t xml:space="preserve">
2x3%
</t>
        </r>
      </text>
    </comment>
  </commentList>
</comments>
</file>

<file path=xl/comments2.xml><?xml version="1.0" encoding="utf-8"?>
<comments xmlns="http://schemas.openxmlformats.org/spreadsheetml/2006/main">
  <authors>
    <author>Author</author>
  </authors>
  <commentList>
    <comment ref="C56" authorId="0">
      <text>
        <r>
          <rPr>
            <b/>
            <sz val="8"/>
            <color indexed="81"/>
            <rFont val="Tahoma"/>
          </rPr>
          <t>Author:</t>
        </r>
        <r>
          <rPr>
            <sz val="8"/>
            <color indexed="81"/>
            <rFont val="Tahoma"/>
          </rPr>
          <t xml:space="preserve">
có thêm105.360.000 đồng là ăn trưa cho trẻ, hs bán trú và người cấp dưỡng 4</t>
        </r>
      </text>
    </comment>
  </commentList>
</comments>
</file>

<file path=xl/sharedStrings.xml><?xml version="1.0" encoding="utf-8"?>
<sst xmlns="http://schemas.openxmlformats.org/spreadsheetml/2006/main" count="1333" uniqueCount="766">
  <si>
    <t>NỘI DUNG</t>
  </si>
  <si>
    <t>Trong đó</t>
  </si>
  <si>
    <t>I</t>
  </si>
  <si>
    <t>II</t>
  </si>
  <si>
    <t>III</t>
  </si>
  <si>
    <t>STT</t>
  </si>
  <si>
    <t>A</t>
  </si>
  <si>
    <t>B</t>
  </si>
  <si>
    <t>TỔNG SỐ</t>
  </si>
  <si>
    <t>Tổng cộng</t>
  </si>
  <si>
    <t>Phụ cấp chức vụ</t>
  </si>
  <si>
    <t>Phụ cấp vượt khung</t>
  </si>
  <si>
    <t>5</t>
  </si>
  <si>
    <t>Phụ cấp công vụ</t>
  </si>
  <si>
    <t>Phụ cấp khu vực</t>
  </si>
  <si>
    <t>Phụ cấp ưu đãi ngành</t>
  </si>
  <si>
    <t>Phụ cấp thu hút</t>
  </si>
  <si>
    <t>Phụ cấp lâu năm</t>
  </si>
  <si>
    <t>Phụ cấp công tác đảng</t>
  </si>
  <si>
    <t>Phụ cấp trách nhiệm</t>
  </si>
  <si>
    <t>1</t>
  </si>
  <si>
    <t>3</t>
  </si>
  <si>
    <t>4</t>
  </si>
  <si>
    <t>Các khoản đóng góp BHXH, BHYT, KPCĐ, BHTN</t>
  </si>
  <si>
    <t>Tổng các khoản phụ cấp</t>
  </si>
  <si>
    <t>Phụ cấp thâm niên nghề</t>
  </si>
  <si>
    <t>Phụ cấp bảo lưu</t>
  </si>
  <si>
    <t>Phụ cấp độc hại</t>
  </si>
  <si>
    <t>Phụ cấp kiêm nhiệm</t>
  </si>
  <si>
    <t>Phụ cấp đại biểu HĐND</t>
  </si>
  <si>
    <t>Hệ số lương</t>
  </si>
  <si>
    <t>HỆ SỐ LƯƠNG, PHỤ CẤP VÀ CÁC KHOẢN ĐÓNG GÓP QUY RA HỆ SỐ</t>
  </si>
  <si>
    <t>7=8+9+…+24</t>
  </si>
  <si>
    <t>Phụ cấp khác (NĐ 17/2015/NĐ-CP, …)</t>
  </si>
  <si>
    <t>UBND HUYỆN THUẬN NAM</t>
  </si>
  <si>
    <t>PHÒNG TÀI CHÍNH - KẾ HOẠCH</t>
  </si>
  <si>
    <t>6</t>
  </si>
  <si>
    <t>7</t>
  </si>
  <si>
    <t xml:space="preserve">      UBND HUYỆN THUẬN NAM</t>
  </si>
  <si>
    <t>Phòng Nội vụ</t>
  </si>
  <si>
    <t>Trần Anh Tuấn</t>
  </si>
  <si>
    <t>ĐVT: Đồng</t>
  </si>
  <si>
    <t>Phạm Minh Tá</t>
  </si>
  <si>
    <t>Vũ Thị Dịu</t>
  </si>
  <si>
    <t>Phú Văn Nhân</t>
  </si>
  <si>
    <t>Thanh tra huyện</t>
  </si>
  <si>
    <t>Vũ Thành Đông</t>
  </si>
  <si>
    <t>Nguyễn Văn Cường</t>
  </si>
  <si>
    <t>Võ Thị Liên</t>
  </si>
  <si>
    <t>Đoàn Thanh Thảo</t>
  </si>
  <si>
    <t>Nguyễn Thị Bích Truyền</t>
  </si>
  <si>
    <t>Phòng Tài nguyên và Môi trường</t>
  </si>
  <si>
    <t>Vũ Văn Quân</t>
  </si>
  <si>
    <t>Hán Tấn Vĩnh An</t>
  </si>
  <si>
    <t>Ngô Thị Thanh Yến</t>
  </si>
  <si>
    <t>Lê Thị Cẩm Nhung</t>
  </si>
  <si>
    <t>Nguyễn Việt Bắc</t>
  </si>
  <si>
    <t>Phạm Thái Hoàng</t>
  </si>
  <si>
    <t>Nguyễn Ngọc Giang</t>
  </si>
  <si>
    <t>IV</t>
  </si>
  <si>
    <t>Phòng Văn Hóa - Thông tin</t>
  </si>
  <si>
    <t>Đinh Phong Thanh</t>
  </si>
  <si>
    <t>Châu Thùy Mai Ly</t>
  </si>
  <si>
    <t>Tô Thị Thanh Triều</t>
  </si>
  <si>
    <t>Lê Anh Tiến</t>
  </si>
  <si>
    <t>V</t>
  </si>
  <si>
    <t>Phòng Nông nghiệp và Phát triển nông thôn</t>
  </si>
  <si>
    <t>Trần Quốc Hoàn</t>
  </si>
  <si>
    <t>Khưu Lê Khắc Trí</t>
  </si>
  <si>
    <t>Lê Hoàn Huy</t>
  </si>
  <si>
    <t>Phạm Thị Ngọc Hà</t>
  </si>
  <si>
    <t>Lê Thị Vân</t>
  </si>
  <si>
    <t>Trung tâm phát triển quỹ đất</t>
  </si>
  <si>
    <t>Lê Xuân Thân</t>
  </si>
  <si>
    <t>Nguyễn Hữu Tân</t>
  </si>
  <si>
    <t>Nguyễn Thị Minh Hương</t>
  </si>
  <si>
    <t>Phan Thị Thanh Hải</t>
  </si>
  <si>
    <t>Lưu Hoàng Vân</t>
  </si>
  <si>
    <t>Lê Ky</t>
  </si>
  <si>
    <t>VI</t>
  </si>
  <si>
    <t>Trường MG Nhị Hà</t>
  </si>
  <si>
    <t>Trường MG Phước Diêm</t>
  </si>
  <si>
    <t>Trường MG Phước Dinh</t>
  </si>
  <si>
    <t>Trường MG Phước Hà</t>
  </si>
  <si>
    <t>Trường MG Phước Nam</t>
  </si>
  <si>
    <t>Trường MG Phước Ninh</t>
  </si>
  <si>
    <t>Khối Tiểu học</t>
  </si>
  <si>
    <t>Khối Mầm non</t>
  </si>
  <si>
    <t>Trường TH Nhị Hà</t>
  </si>
  <si>
    <t>Trường TH Nhị Hà 3</t>
  </si>
  <si>
    <t>Trường TH Lạc Sơn</t>
  </si>
  <si>
    <t>Trường TH Trà Nô</t>
  </si>
  <si>
    <t>Trường TH Quán Thẻ</t>
  </si>
  <si>
    <t>Trường TH Văn Lâm</t>
  </si>
  <si>
    <t>Trường TH Nho Lâm</t>
  </si>
  <si>
    <t>Trường TH Phước Lập</t>
  </si>
  <si>
    <t>Trường TH Vụ Bổn</t>
  </si>
  <si>
    <t>Trường TH Hiếu Thiện</t>
  </si>
  <si>
    <t>Khối Trung học cơ sở</t>
  </si>
  <si>
    <t>Trường THCS Hoàng Hoa Thám</t>
  </si>
  <si>
    <t>Trường THCS Võ Văn Kiệt</t>
  </si>
  <si>
    <t>Trường THCS Trương Văn Ly</t>
  </si>
  <si>
    <t>Trường THCS Nguyễn Tiệm</t>
  </si>
  <si>
    <t>Trường THCS Phan Chu Trinh</t>
  </si>
  <si>
    <t>Phòng Tư pháp</t>
  </si>
  <si>
    <t>Nguyễn Trần Thuận</t>
  </si>
  <si>
    <t>Dương Ngọc Thạch</t>
  </si>
  <si>
    <t>Quảng Thị Mỹ Trúc</t>
  </si>
  <si>
    <t>Sự nghiệp Văn hóa-Thông tin</t>
  </si>
  <si>
    <t>Trượng Văn Quân</t>
  </si>
  <si>
    <t>Trần Thị Kiều Oanh</t>
  </si>
  <si>
    <t>Lê Võ Bích Hoan</t>
  </si>
  <si>
    <t>Nguyễn Thị Thanh Hồng</t>
  </si>
  <si>
    <t>Sự nghiệp Thể dục-Thể thao</t>
  </si>
  <si>
    <t>Vạn Ngọc Uyển</t>
  </si>
  <si>
    <t>Phòng Tài chính - Kế hoạch</t>
  </si>
  <si>
    <t>VII</t>
  </si>
  <si>
    <t>Tăng Thị Liễu</t>
  </si>
  <si>
    <t>Bùi Thị Duyên Hải</t>
  </si>
  <si>
    <t>Nguyễn Trung Hưng</t>
  </si>
  <si>
    <t>Nguyễn Duy Hải</t>
  </si>
  <si>
    <t>Nguyễn Văn Cảnh</t>
  </si>
  <si>
    <t>Tô Thị Thanh Triều (PC Chi bộ)</t>
  </si>
  <si>
    <t>Lê Anh Tiến (PC Chi bộ)</t>
  </si>
  <si>
    <t>Trường MN Quán Thẻ</t>
  </si>
  <si>
    <t>Hội Chữ thập đỏ</t>
  </si>
  <si>
    <t>Huỳnh Đức Thắng</t>
  </si>
  <si>
    <t>Diệp Thị Như Tánh</t>
  </si>
  <si>
    <t>Nguyễn Thị Hòa</t>
  </si>
  <si>
    <t>Phòng Kinh tế - Hạ tầng</t>
  </si>
  <si>
    <t>Nguyễn Hùng</t>
  </si>
  <si>
    <t>Nguyễn Tấn Lộc</t>
  </si>
  <si>
    <t>Nguyễn Thị Lài</t>
  </si>
  <si>
    <t>Nguyễn Thị Tân</t>
  </si>
  <si>
    <t>Nguyễn Văn Xự</t>
  </si>
  <si>
    <t>Não Ngọc Cang</t>
  </si>
  <si>
    <t>Đặng Gia Thuận</t>
  </si>
  <si>
    <t>Cấp xã</t>
  </si>
  <si>
    <t>Cán bộ</t>
  </si>
  <si>
    <t>Nguyễn Văn Thái</t>
  </si>
  <si>
    <t>2</t>
  </si>
  <si>
    <t>Bá Văn Cảnh</t>
  </si>
  <si>
    <t>Châu Thùy Mai Ry</t>
  </si>
  <si>
    <t>Bá Thanh Thanh Trưởng</t>
  </si>
  <si>
    <t>Não Thị Thanh Thảo</t>
  </si>
  <si>
    <t>Kiều Thanh Minh</t>
  </si>
  <si>
    <t>8</t>
  </si>
  <si>
    <t>Hứa Thị Mây Sum</t>
  </si>
  <si>
    <t>9</t>
  </si>
  <si>
    <t>Châu Thị Phương Tâm</t>
  </si>
  <si>
    <t>10</t>
  </si>
  <si>
    <t>Thập Văn Hồng Chức</t>
  </si>
  <si>
    <t>Công chức</t>
  </si>
  <si>
    <t>Não Thanh Đệ</t>
  </si>
  <si>
    <t>Miêu bá Nữ Hoài Chi</t>
  </si>
  <si>
    <t>Huỳnh Thị Tuyết Hồng</t>
  </si>
  <si>
    <t>Châu Thị  Duy Na</t>
  </si>
  <si>
    <t xml:space="preserve">Thiên Sanh Tuấn </t>
  </si>
  <si>
    <t>Não Thị Mộng cát</t>
  </si>
  <si>
    <t>Phú Minh Mẫn</t>
  </si>
  <si>
    <t xml:space="preserve">Châu Nữ Diệu Lan </t>
  </si>
  <si>
    <t>Từ Công Zulkiffly</t>
  </si>
  <si>
    <t>11</t>
  </si>
  <si>
    <t>Phú Văn Điệp</t>
  </si>
  <si>
    <t>12</t>
  </si>
  <si>
    <t>Nguyễn Huỳnh Văn</t>
  </si>
  <si>
    <t>Theo quyết định 226</t>
  </si>
  <si>
    <t xml:space="preserve">Não Văn Sáu </t>
  </si>
  <si>
    <t xml:space="preserve">Phạm Thông </t>
  </si>
  <si>
    <t>Cán bộ không chuyên trách xã</t>
  </si>
  <si>
    <t>Xã loại 1</t>
  </si>
  <si>
    <t>Số thôn (7 thôn)</t>
  </si>
  <si>
    <t>Phòng Lao động - Thương binh và Xã hội</t>
  </si>
  <si>
    <t>Nguyễn Lam</t>
  </si>
  <si>
    <t>Lê Thị Bích Ngọc</t>
  </si>
  <si>
    <t>Nguyễn Thị Hiền Nhung</t>
  </si>
  <si>
    <t>Ngô Văn Sậy</t>
  </si>
  <si>
    <t>Lê Huyền</t>
  </si>
  <si>
    <t>Bá Bình Yên</t>
  </si>
  <si>
    <t>Phạm Ngọc Hùng</t>
  </si>
  <si>
    <t>Diệp Minh Xuân</t>
  </si>
  <si>
    <t>Nguyễn Thị Xuân Cường</t>
  </si>
  <si>
    <t>Đinh Văn Hòa</t>
  </si>
  <si>
    <t>Hoàng Lương Đàn</t>
  </si>
  <si>
    <t xml:space="preserve">Nguyễn Thị Thu Loan </t>
  </si>
  <si>
    <t>Lưu Ngọc Lễ</t>
  </si>
  <si>
    <t>Phan Thủy</t>
  </si>
  <si>
    <t>Văn Công Quang</t>
  </si>
  <si>
    <t>Nguyễn Thị Ngọc</t>
  </si>
  <si>
    <t>Nguyễn Trọng Lâm</t>
  </si>
  <si>
    <t>Trần Ngọc Linh</t>
  </si>
  <si>
    <t>Lê Minh Châu</t>
  </si>
  <si>
    <t>Trương Thị Dung</t>
  </si>
  <si>
    <t>Lê Thị Mỹ Lệ</t>
  </si>
  <si>
    <t>Trần Thanh Tâm</t>
  </si>
  <si>
    <t>Võ Tấn Toàn</t>
  </si>
  <si>
    <t>Đoàn Xuân Quyết</t>
  </si>
  <si>
    <t>Quách Thị Hạnh</t>
  </si>
  <si>
    <t>Nguyễn Thị Lành</t>
  </si>
  <si>
    <t>Bùi Thị Hải Yến</t>
  </si>
  <si>
    <t>Hồ Thị Tuyết Trang</t>
  </si>
  <si>
    <t>Trần Thị Phụng Linh</t>
  </si>
  <si>
    <t>Phụ cấp HĐ cấp ủy</t>
  </si>
  <si>
    <t>Văn phòng Cấp ủy và Chính quyền huyện (chủ tài khoản)</t>
  </si>
  <si>
    <t>Lê Xuân Sang</t>
  </si>
  <si>
    <t>Nguyễn Thiện Quang</t>
  </si>
  <si>
    <t>Hà Văn Lập</t>
  </si>
  <si>
    <t>Vũ Thúy An</t>
  </si>
  <si>
    <t>Văn Thị Thu Trang</t>
  </si>
  <si>
    <t>Ban Tổ chức</t>
  </si>
  <si>
    <t>Hồ Văn Về</t>
  </si>
  <si>
    <t>Bùi Thị Thanh Yên</t>
  </si>
  <si>
    <t>Lê Đình Qúi</t>
  </si>
  <si>
    <t>Đoàn Việt Hà</t>
  </si>
  <si>
    <t>Ủy ban kiểm tra</t>
  </si>
  <si>
    <t>Bùi Hữu Giáo</t>
  </si>
  <si>
    <t>Lê Minh Khánh</t>
  </si>
  <si>
    <t>Trương Điền Phong</t>
  </si>
  <si>
    <t>Ban Tuyên giáo</t>
  </si>
  <si>
    <t>Nguyễn Văn Chiêu</t>
  </si>
  <si>
    <t>Đào Ngọc Kỷ</t>
  </si>
  <si>
    <t>Trương Trà Mi</t>
  </si>
  <si>
    <t>Nguyễn Thanh Hải</t>
  </si>
  <si>
    <t>Ban Dân vận</t>
  </si>
  <si>
    <t>Trần Thị Thu Trang</t>
  </si>
  <si>
    <t>Kiều Đại Hướng</t>
  </si>
  <si>
    <t>Phú Trần Anh Vương</t>
  </si>
  <si>
    <t>Lê Thị Ngọc Nghĩa</t>
  </si>
  <si>
    <t>Huyện Đoàn</t>
  </si>
  <si>
    <t>Huỳnh Kiều Ánh</t>
  </si>
  <si>
    <t>Huỳnh Thị Diệu</t>
  </si>
  <si>
    <t>Nguyễn Duy Khương</t>
  </si>
  <si>
    <t>Hội Phụ Nữ</t>
  </si>
  <si>
    <t>Trần Thị Huệ</t>
  </si>
  <si>
    <t>Trịnh Thị Hồng Cúc</t>
  </si>
  <si>
    <t>Nguyễn Thị Hồng Nhung</t>
  </si>
  <si>
    <t>Quảng Thị Mỹ La</t>
  </si>
  <si>
    <t>Hội Nông dân</t>
  </si>
  <si>
    <t>Phan Ngọc Minh</t>
  </si>
  <si>
    <t>Nguyễn Thị Mai Xuân</t>
  </si>
  <si>
    <t>Trượng Thị Xuân Tuyên</t>
  </si>
  <si>
    <t>Miêu Thị Ngọc Nữ</t>
  </si>
  <si>
    <t>Hội Cựu chiến binh</t>
  </si>
  <si>
    <t>Lê Hải Điểu</t>
  </si>
  <si>
    <t>Đinh Thành Nhất Nguyên</t>
  </si>
  <si>
    <t>Khối chính quyền cấp huyện</t>
  </si>
  <si>
    <t>Khối đảng cấp huyện</t>
  </si>
  <si>
    <t>C</t>
  </si>
  <si>
    <t>Khối đoàn thể cấp huyện</t>
  </si>
  <si>
    <t>D</t>
  </si>
  <si>
    <t>Tôn Văn Minh</t>
  </si>
  <si>
    <t xml:space="preserve">Hoàng Thị Sự </t>
  </si>
  <si>
    <t>Nguyễn Văn Hùng</t>
  </si>
  <si>
    <t>Trần Trọng Hiếu</t>
  </si>
  <si>
    <t xml:space="preserve">Nguyễn Trần Thuận </t>
  </si>
  <si>
    <t>Nguyễn Văn Mạnh</t>
  </si>
  <si>
    <t xml:space="preserve">Võ Như Sơn </t>
  </si>
  <si>
    <t xml:space="preserve">Võ Trương Giáp </t>
  </si>
  <si>
    <t>Phạm Đức Thuần</t>
  </si>
  <si>
    <t>Lê Quyết Thắng</t>
  </si>
  <si>
    <t>Lê Thái An</t>
  </si>
  <si>
    <t xml:space="preserve">Lê Thái An </t>
  </si>
  <si>
    <t xml:space="preserve">Huỳnh Thị Kim Dung </t>
  </si>
  <si>
    <t xml:space="preserve">Huỳnh Thị Kim Duyên </t>
  </si>
  <si>
    <t>Nguyễn Thị Kim Duyên</t>
  </si>
  <si>
    <t>Nguyễn Lê Đường Trúc Giang</t>
  </si>
  <si>
    <t>Lê Mót</t>
  </si>
  <si>
    <t>Cao Thị Diệu Nữ</t>
  </si>
  <si>
    <t>Nguyễn Đình Nho</t>
  </si>
  <si>
    <t>Phạm Quốc Oai</t>
  </si>
  <si>
    <t>Lâm Thanh Quốc</t>
  </si>
  <si>
    <t>Hoàng Thị Sự</t>
  </si>
  <si>
    <t>Võ Như Sơn</t>
  </si>
  <si>
    <t>Trần Thương Thy Trân</t>
  </si>
  <si>
    <t>Phạm Nguyễn Khắc Triết</t>
  </si>
  <si>
    <t>Trần Phước Trung</t>
  </si>
  <si>
    <t>Võ Trường</t>
  </si>
  <si>
    <t>Bùi Thị Bích Vương</t>
  </si>
  <si>
    <t>Nguyễn Thị Tuyết Xuân</t>
  </si>
  <si>
    <t>Đại biểu HĐND xã</t>
  </si>
  <si>
    <t>Ủy viên BCH Đảng bộ xã</t>
  </si>
  <si>
    <t xml:space="preserve">Bá Văn Cảnh </t>
  </si>
  <si>
    <t xml:space="preserve">Não Thiên Minh Nguyệt </t>
  </si>
  <si>
    <t xml:space="preserve">Miêu Không </t>
  </si>
  <si>
    <t>Từ Công ZulkiffLy</t>
  </si>
  <si>
    <t>Kiều Thanh Điệp</t>
  </si>
  <si>
    <t xml:space="preserve">Kiều Thị Bảo Duyên </t>
  </si>
  <si>
    <t xml:space="preserve">Miêu Văn Công </t>
  </si>
  <si>
    <t>Châu Tỏ</t>
  </si>
  <si>
    <t>Chaâu Thị Duy Na</t>
  </si>
  <si>
    <t xml:space="preserve">Phú Minh Mạng </t>
  </si>
  <si>
    <t xml:space="preserve">Kiều Thị Thùy Khương </t>
  </si>
  <si>
    <t xml:space="preserve">Châu  Thị Phương Tâm </t>
  </si>
  <si>
    <t xml:space="preserve">Bá Thanh Thanh Trưởng </t>
  </si>
  <si>
    <t xml:space="preserve">Thập Hồng Tròn </t>
  </si>
  <si>
    <t xml:space="preserve">Châu Thùy Mai Ry </t>
  </si>
  <si>
    <t xml:space="preserve">Hứa Thị Mây Sum </t>
  </si>
  <si>
    <t xml:space="preserve">Nguyễn Sơn </t>
  </si>
  <si>
    <t xml:space="preserve">Bá Trung Huy </t>
  </si>
  <si>
    <t xml:space="preserve">Nguyễn Văn Lý </t>
  </si>
  <si>
    <t xml:space="preserve">Ngô Văn Vinh </t>
  </si>
  <si>
    <t xml:space="preserve">Nguyễn Văn Thái </t>
  </si>
  <si>
    <t xml:space="preserve">Nguyễn Văn Thanh </t>
  </si>
  <si>
    <t xml:space="preserve">Phú Nữ Minh Yên </t>
  </si>
  <si>
    <t xml:space="preserve">Bá Văn Tưởng </t>
  </si>
  <si>
    <t>Nguyễn Văn Lý</t>
  </si>
  <si>
    <t xml:space="preserve">Nguyễn Huỳnh Văn </t>
  </si>
  <si>
    <t xml:space="preserve">Kiều Tặng </t>
  </si>
  <si>
    <t>Não Thiên Minh Nguyệt</t>
  </si>
  <si>
    <t>Châu Văn Kỳ</t>
  </si>
  <si>
    <t xml:space="preserve">Phú Minh Mẫn </t>
  </si>
  <si>
    <t>Ñaëng Trung Hoøa</t>
  </si>
  <si>
    <t>Phaïm Thanh Bình</t>
  </si>
  <si>
    <t>Nguyeãn Vaên Huøng</t>
  </si>
  <si>
    <t>Traàn Ba</t>
  </si>
  <si>
    <t>Nguyeãn Thaùi Cöôøng</t>
  </si>
  <si>
    <t>Nguyeãn Thaùi Ñaïo</t>
  </si>
  <si>
    <t>Nguyeãn Xuaân Phöông</t>
  </si>
  <si>
    <t>Nguyeãn T. Ñan Thanh</t>
  </si>
  <si>
    <t>Traàn Thò Maän</t>
  </si>
  <si>
    <t>Vuõ Baù Ñích</t>
  </si>
  <si>
    <t>Voõ Ngoïc Bình</t>
  </si>
  <si>
    <t>Baûo Thuøy Traâm</t>
  </si>
  <si>
    <t>Nguyeãn. T. Hoàng Dieãm</t>
  </si>
  <si>
    <t>Phaïm Ñoã Ngoïc Thaéng</t>
  </si>
  <si>
    <t>Phaïm. H. Minh Khaûi</t>
  </si>
  <si>
    <t>Phạm Văn Kiệp</t>
  </si>
  <si>
    <t>Nguyeãn Vaên Töïu</t>
  </si>
  <si>
    <t>HỢP ĐỒNG</t>
  </si>
  <si>
    <t>Trần Thị Phố</t>
  </si>
  <si>
    <t>Phụ cấp cấp ủy</t>
  </si>
  <si>
    <t>Phụ cấp HĐND</t>
  </si>
  <si>
    <t>Hoạt động không chuyên trách</t>
  </si>
  <si>
    <t>Số thôn: 05 thôn</t>
  </si>
  <si>
    <t>Nguyễn Tấn Ích</t>
  </si>
  <si>
    <t>Lê Thị Tư</t>
  </si>
  <si>
    <t>Xã Phước Nam</t>
  </si>
  <si>
    <t>Xã Phước Dinh</t>
  </si>
  <si>
    <t>Xã Phước Minh</t>
  </si>
  <si>
    <t xml:space="preserve">Cán bộ </t>
  </si>
  <si>
    <t>Trần Thị Hoa</t>
  </si>
  <si>
    <t>Hồ Văn Phú</t>
  </si>
  <si>
    <t>Trần Mạnh Cương</t>
  </si>
  <si>
    <t>Vũ Văn Tới</t>
  </si>
  <si>
    <t xml:space="preserve">Hoàng Xuân Thủy </t>
  </si>
  <si>
    <t xml:space="preserve">Phan Thị Hải Thanh </t>
  </si>
  <si>
    <t>Trần Đăng Tuấn</t>
  </si>
  <si>
    <t xml:space="preserve">Vũ Thị An </t>
  </si>
  <si>
    <t xml:space="preserve">Nguyễn Ngọc Hoài </t>
  </si>
  <si>
    <t xml:space="preserve">Nguyễn Công Ngụ </t>
  </si>
  <si>
    <t xml:space="preserve">Đỗ Thị Mai Trang </t>
  </si>
  <si>
    <t xml:space="preserve">Nguyễn Thành Trung </t>
  </si>
  <si>
    <t>Nguyễn Lê Thị Tâm</t>
  </si>
  <si>
    <t>Quách Thị Thu Thủy</t>
  </si>
  <si>
    <t xml:space="preserve">Thái Văn Thuận </t>
  </si>
  <si>
    <t>Xã loại 2</t>
  </si>
  <si>
    <t>Số thôn: 4</t>
  </si>
  <si>
    <t>Phụ cấp cấp uỷ</t>
  </si>
  <si>
    <t>Trần Thị Huê</t>
  </si>
  <si>
    <t>Đỗ Trọng Thạo</t>
  </si>
  <si>
    <t>Đinh Công Dư</t>
  </si>
  <si>
    <t>Nguyễn Ngọc Tuấn</t>
  </si>
  <si>
    <t>Nguyễn Văn Nhuệ</t>
  </si>
  <si>
    <t xml:space="preserve">Phạm Tiến Thông </t>
  </si>
  <si>
    <t>Trịnh Tiểu Bình</t>
  </si>
  <si>
    <t>Phạm Văn Bình</t>
  </si>
  <si>
    <t>Cao Thị Thu Thủy</t>
  </si>
  <si>
    <t>Đặng Thị Hợp</t>
  </si>
  <si>
    <t xml:space="preserve">Đào Văn Khang </t>
  </si>
  <si>
    <t>Nguyễn Thị Phương Chi</t>
  </si>
  <si>
    <t>Nguyễn Thị Vân</t>
  </si>
  <si>
    <t>Trần Thị Yến Nhi</t>
  </si>
  <si>
    <t>Phan Văn Chiêm</t>
  </si>
  <si>
    <t xml:space="preserve">Đinh Quang Thịnh </t>
  </si>
  <si>
    <t>Nguyễn Văn Thìn</t>
  </si>
  <si>
    <t xml:space="preserve">Nguyễn Văn Nhuệ </t>
  </si>
  <si>
    <t xml:space="preserve">Đinh Công Dư </t>
  </si>
  <si>
    <t xml:space="preserve">Lưu Quang Thao </t>
  </si>
  <si>
    <t xml:space="preserve">Trần Mạnh Cương </t>
  </si>
  <si>
    <t>Đỗ Thị Mai Trang</t>
  </si>
  <si>
    <t>Thái Văn Thuận</t>
  </si>
  <si>
    <t>Hoàng Xuân Thuỷ</t>
  </si>
  <si>
    <t>Vũ Thị An</t>
  </si>
  <si>
    <t xml:space="preserve">Nguyễn Văn Hùng </t>
  </si>
  <si>
    <t>Xã Nhị Hà</t>
  </si>
  <si>
    <t xml:space="preserve">Lê Quyết Thắng </t>
  </si>
  <si>
    <t xml:space="preserve">Nguyễn Thị Tuyết Xuân </t>
  </si>
  <si>
    <t xml:space="preserve">Bùi Thị Bích Vương </t>
  </si>
  <si>
    <t xml:space="preserve">Bùi Thiện Lâm </t>
  </si>
  <si>
    <t xml:space="preserve">Công chức </t>
  </si>
  <si>
    <t xml:space="preserve">Thọ Trường Hiến </t>
  </si>
  <si>
    <t xml:space="preserve">Quách Tấn Phong </t>
  </si>
  <si>
    <t xml:space="preserve">Trần Phước Trung </t>
  </si>
  <si>
    <t>Nguyễn Thị Kim Ngân</t>
  </si>
  <si>
    <t>Trần Thị Kim Hòa</t>
  </si>
  <si>
    <t>Huỳnh Thị Kim Duyên</t>
  </si>
  <si>
    <t>Võ Trương Giáp</t>
  </si>
  <si>
    <t>Dương Thị Mỹ Diễm</t>
  </si>
  <si>
    <t>Phan Thành Sơn</t>
  </si>
  <si>
    <t>Trần Thanh Tùng</t>
  </si>
  <si>
    <t>Nguyễn Sơn Hùng</t>
  </si>
  <si>
    <t>Dương Thị Lến</t>
  </si>
  <si>
    <t>Lê Lúc</t>
  </si>
  <si>
    <t>Lê Xuân Trọng</t>
  </si>
  <si>
    <t>Ngô Lâm</t>
  </si>
  <si>
    <t>Võ Văn Hiền</t>
  </si>
  <si>
    <t>La Công Sơn</t>
  </si>
  <si>
    <t>Phan Ngọc Anh</t>
  </si>
  <si>
    <t>Nguyễn Duy Lân</t>
  </si>
  <si>
    <t>Lê Thị Thu Loan</t>
  </si>
  <si>
    <t>Trưởng Thị Tiến Lên</t>
  </si>
  <si>
    <t>Số thôn: 5</t>
  </si>
  <si>
    <t>Phan Văn Á</t>
  </si>
  <si>
    <t>Lưu Việt Hưng</t>
  </si>
  <si>
    <t>Trương Ngọc Liêm</t>
  </si>
  <si>
    <t>Trần Thanh Thuần</t>
  </si>
  <si>
    <t>Nguyễn Thanh Ngà</t>
  </si>
  <si>
    <t>Nguyễn Thị Ngọc Anh</t>
  </si>
  <si>
    <t>Từ Quốc Thanh</t>
  </si>
  <si>
    <t>Trần Thị Thu Ánh</t>
  </si>
  <si>
    <t xml:space="preserve">Đinh Thị Phương Loan </t>
  </si>
  <si>
    <t>Lê Diệu Thu</t>
  </si>
  <si>
    <t>Trần Minh Lượng</t>
  </si>
  <si>
    <t>Lê Văn Thái</t>
  </si>
  <si>
    <t>Trịnh Thị Thảo</t>
  </si>
  <si>
    <t>Phạm Trung Thu</t>
  </si>
  <si>
    <t>Nguyễn Hữu Ái</t>
  </si>
  <si>
    <t>Nguyeãn Thanh Thònh</t>
  </si>
  <si>
    <t>Voõ Thò Kieàu Linh</t>
  </si>
  <si>
    <t>Phạm Thanh Bình</t>
  </si>
  <si>
    <t>Nguyễn Thái Cường</t>
  </si>
  <si>
    <t>Nguyễn Thái Đạo</t>
  </si>
  <si>
    <t>Trần Ba</t>
  </si>
  <si>
    <t>Trần Văn Thu</t>
  </si>
  <si>
    <t>Nguyễn Văn Tựu</t>
  </si>
  <si>
    <t>Nguyễn Thị Ngọc Bích</t>
  </si>
  <si>
    <t>Võ Thái Bình</t>
  </si>
  <si>
    <t>Trần Thị Mận</t>
  </si>
  <si>
    <t>Lê Quang Tâm</t>
  </si>
  <si>
    <t>13</t>
  </si>
  <si>
    <t>Vũ Bá Đích</t>
  </si>
  <si>
    <t>14</t>
  </si>
  <si>
    <t>Ngô Xuân Tịnh</t>
  </si>
  <si>
    <t>15</t>
  </si>
  <si>
    <t>Phạm Huỳnh Minh Khải</t>
  </si>
  <si>
    <t>16</t>
  </si>
  <si>
    <t>Võ Duy Việt</t>
  </si>
  <si>
    <t>17</t>
  </si>
  <si>
    <t>Nguyễn Ngọc Chinh</t>
  </si>
  <si>
    <t>18</t>
  </si>
  <si>
    <t>Nguyễn Kim Hoàng</t>
  </si>
  <si>
    <t>19</t>
  </si>
  <si>
    <t>Nguyễn Văn Bi</t>
  </si>
  <si>
    <t>20</t>
  </si>
  <si>
    <t>21</t>
  </si>
  <si>
    <t>Nguyễn Thành Du</t>
  </si>
  <si>
    <t>22</t>
  </si>
  <si>
    <t>Nguyễn Thanh Thịnh</t>
  </si>
  <si>
    <t>23</t>
  </si>
  <si>
    <t>Võ Văn Sơn</t>
  </si>
  <si>
    <t>24</t>
  </si>
  <si>
    <t>Trần Văn Lợi</t>
  </si>
  <si>
    <t>25</t>
  </si>
  <si>
    <t>Trần Thị Thu Huỳnh</t>
  </si>
  <si>
    <t>26</t>
  </si>
  <si>
    <t>Lương Văn Chữ</t>
  </si>
  <si>
    <t>27</t>
  </si>
  <si>
    <t>Võ Thị Kim Hạnh</t>
  </si>
  <si>
    <t>Xã Cà Ná</t>
  </si>
  <si>
    <t>Xã Phước Ninh</t>
  </si>
  <si>
    <t xml:space="preserve">Châu Văn Kỳ </t>
  </si>
  <si>
    <t>Từ Văn Khánh</t>
  </si>
  <si>
    <t>Trịnh Vinh Quang</t>
  </si>
  <si>
    <t>Chế Gia Huy</t>
  </si>
  <si>
    <t>Nguyễn Thị Chính</t>
  </si>
  <si>
    <t>Thiên Sanh Phong</t>
  </si>
  <si>
    <t>Thiên Anh Khoa</t>
  </si>
  <si>
    <t>Nguyễn Thị Tốt</t>
  </si>
  <si>
    <t>Lê Xuân Hoàng</t>
  </si>
  <si>
    <t>Đinh Ngọc Kim Phú</t>
  </si>
  <si>
    <t xml:space="preserve">Lưu Quang Thành </t>
  </si>
  <si>
    <t>Quảng Đức Thọ</t>
  </si>
  <si>
    <t>Quảng Nhật Lai</t>
  </si>
  <si>
    <t>Nguyễn Thị H. Lam</t>
  </si>
  <si>
    <t>Lê Thị Thắm</t>
  </si>
  <si>
    <t>Châu Phương Diệp</t>
  </si>
  <si>
    <t xml:space="preserve">Châu Thị My La </t>
  </si>
  <si>
    <t xml:space="preserve">Đổng Hà Lan </t>
  </si>
  <si>
    <t>Số thôn: 04 thôn</t>
  </si>
  <si>
    <t>Đổng Hà Lan</t>
  </si>
  <si>
    <t>Nguyễn Thanh Tùng</t>
  </si>
  <si>
    <t xml:space="preserve">Từ Văn Khánh </t>
  </si>
  <si>
    <t>Lộ Phú thống</t>
  </si>
  <si>
    <t>Trượng Nữ Vi</t>
  </si>
  <si>
    <t>Nguyễn Thị Hồng Lam</t>
  </si>
  <si>
    <t xml:space="preserve">Nguyễn Văn Châu </t>
  </si>
  <si>
    <t>Nguyễn Thanh Tung</t>
  </si>
  <si>
    <t xml:space="preserve">Nguyễn Thị Tốt </t>
  </si>
  <si>
    <t xml:space="preserve">Thiên Thành Đạt Hải
 Ngưu Hành Chí </t>
  </si>
  <si>
    <t>Đàng Năng Linh</t>
  </si>
  <si>
    <t>Đàng Trung Nhanh</t>
  </si>
  <si>
    <t>Lưu Thị Thùy Trưng</t>
  </si>
  <si>
    <t>Trượng Thanh Huy</t>
  </si>
  <si>
    <t>Thiên Thị Thu Nghiêm</t>
  </si>
  <si>
    <t>Đàng Thanh Tiện</t>
  </si>
  <si>
    <t>Thiên Ngọc Phụng</t>
  </si>
  <si>
    <t xml:space="preserve">Nguyễn Thị Chính </t>
  </si>
  <si>
    <t>Nguyễn Đức Trọng</t>
  </si>
  <si>
    <t>Xã Phước Hà</t>
  </si>
  <si>
    <t xml:space="preserve">Tà Thía Banh </t>
  </si>
  <si>
    <t>Tạ Yên Úc</t>
  </si>
  <si>
    <t>Tạ  Yên Thị Trang</t>
  </si>
  <si>
    <t>Tạ Yên Thị Cam</t>
  </si>
  <si>
    <t>Tạ Yên Mơn</t>
  </si>
  <si>
    <t>Đàng Sĩ Vinh</t>
  </si>
  <si>
    <t>Tạ Yên Xem</t>
  </si>
  <si>
    <t>Bà Rá Thị Thủy</t>
  </si>
  <si>
    <t>Tạ Yên Phai</t>
  </si>
  <si>
    <t>Chamalé Tuế</t>
  </si>
  <si>
    <t>Tạ Yên Phố</t>
  </si>
  <si>
    <t>Ô Rai Xuất</t>
  </si>
  <si>
    <t xml:space="preserve">Tạ Yên Phúc </t>
  </si>
  <si>
    <t>Trần Nguyễn Thị Thiện</t>
  </si>
  <si>
    <t>Ô Rai Hàm</t>
  </si>
  <si>
    <t>Tạ Yên Thị Trang</t>
  </si>
  <si>
    <t>Lê Thị Bích Diễm</t>
  </si>
  <si>
    <t xml:space="preserve">Trà Văn Thị Thúy </t>
  </si>
  <si>
    <t>Cha Ma Lé Tuế</t>
  </si>
  <si>
    <t>Tạ yên Phai</t>
  </si>
  <si>
    <t>Tạ Yên Phúc</t>
  </si>
  <si>
    <t>Ô Rai Hồng</t>
  </si>
  <si>
    <t>Trần Mai Thanh</t>
  </si>
  <si>
    <t>Ô Rai Xuân</t>
  </si>
  <si>
    <t>Bà Râu Núc</t>
  </si>
  <si>
    <t>Ma Năng Dựng</t>
  </si>
  <si>
    <t>Tạ Yên Sản</t>
  </si>
  <si>
    <t>Vó Bình</t>
  </si>
  <si>
    <t>A Né Dớ</t>
  </si>
  <si>
    <t>Tâu Xá Hưng</t>
  </si>
  <si>
    <t>Lưu Thị Bình Loan</t>
  </si>
  <si>
    <t>Xã Phước Diêm</t>
  </si>
  <si>
    <t>Trịnh Văn Đậm</t>
  </si>
  <si>
    <t>Lưu Thị Xưa</t>
  </si>
  <si>
    <t>Dương Thị Bưởi</t>
  </si>
  <si>
    <t>5=6+7+25</t>
  </si>
  <si>
    <t>VIII</t>
  </si>
  <si>
    <t>IX</t>
  </si>
  <si>
    <t>X</t>
  </si>
  <si>
    <t>Phòng Giáo dục và Đào tạo</t>
  </si>
  <si>
    <t>Nguyễn Bá Lợi</t>
  </si>
  <si>
    <t>Nguyễn Văn Quang</t>
  </si>
  <si>
    <t>Não Thiên Minh Trí</t>
  </si>
  <si>
    <t>Phan Thị Thu</t>
  </si>
  <si>
    <t>Trần Thanh Tân</t>
  </si>
  <si>
    <t>Nguyễn Thị Dưỡng</t>
  </si>
  <si>
    <t>Khối đơn vị sự nghiệp thuộc huyện</t>
  </si>
  <si>
    <t>IV.1</t>
  </si>
  <si>
    <t>IV.2</t>
  </si>
  <si>
    <t>IV.3</t>
  </si>
  <si>
    <t xml:space="preserve">Phạm Thanh Hùng </t>
  </si>
  <si>
    <t>Bạch Thuận Phú</t>
  </si>
  <si>
    <t>Kiều Minh Ngọc</t>
  </si>
  <si>
    <t>Ngô Minh Hiệp</t>
  </si>
  <si>
    <t>Nguyễn Phùng Vũ Lâm</t>
  </si>
  <si>
    <t>Nguyễn Hải</t>
  </si>
  <si>
    <t>Đỗ Đức Phương</t>
  </si>
  <si>
    <t>Phan Văn Sang</t>
  </si>
  <si>
    <t>Nguyển Thị Trang</t>
  </si>
  <si>
    <t>Hàng Mai Thảo</t>
  </si>
  <si>
    <t>Nguyễn Thị Ngọc Thu</t>
  </si>
  <si>
    <t xml:space="preserve">Lê Chí Thanh </t>
  </si>
  <si>
    <t>Châu Ka Li</t>
  </si>
  <si>
    <t>Nguyễn Văn Quyết</t>
  </si>
  <si>
    <t>Lê Hải Đăng</t>
  </si>
  <si>
    <t>Vũ Thị Thanh Hiểu</t>
  </si>
  <si>
    <t>Trần Văn Đức</t>
  </si>
  <si>
    <t>Lê Thanh Kỳ</t>
  </si>
  <si>
    <t>Nguyễn Thanh Hùng</t>
  </si>
  <si>
    <t>Huỳnh Thái Phương</t>
  </si>
  <si>
    <t>Hồ Thị Hoa</t>
  </si>
  <si>
    <t>Nguyễn Thị Duy An</t>
  </si>
  <si>
    <t>Nguyễn Hải Đăng</t>
  </si>
  <si>
    <t>Nguyễn Ngọc Châu</t>
  </si>
  <si>
    <t>Đỗ Ngọc Sơn</t>
  </si>
  <si>
    <t>Trần Thị Thanh Xuân</t>
  </si>
  <si>
    <t>Phan Hồng Quang</t>
  </si>
  <si>
    <t>Trần Văn Đông</t>
  </si>
  <si>
    <t>Lê Văn Trước</t>
  </si>
  <si>
    <t>Nguyễn Thị Ngọc Linh</t>
  </si>
  <si>
    <t>Phục cấp BHC Đảng bộ xã</t>
  </si>
  <si>
    <t>Phục cấp HĐND xã</t>
  </si>
  <si>
    <t>Tống Văn Tận</t>
  </si>
  <si>
    <t>XI</t>
  </si>
  <si>
    <t>Ban Chỉ huy quân sự huyện</t>
  </si>
  <si>
    <t>KHỐI XÃ</t>
  </si>
  <si>
    <t>Chỉ huy trưởng - Chính trị viên</t>
  </si>
  <si>
    <t>Chỉ huy phó - Chính trị viên phó</t>
  </si>
  <si>
    <t>Trung đội trưởng</t>
  </si>
  <si>
    <t>Thôn đội trưởng</t>
  </si>
  <si>
    <t>Tiểu đội trưởng-khẩu đội trưởng</t>
  </si>
  <si>
    <t>KHỐI TỰ VỆ</t>
  </si>
  <si>
    <t>a</t>
  </si>
  <si>
    <t>b</t>
  </si>
  <si>
    <t>c</t>
  </si>
  <si>
    <t>d</t>
  </si>
  <si>
    <t>e</t>
  </si>
  <si>
    <t>Theo quyết định 226/QĐ-UBND ngày 22/10/2012 của tỉnh Ninh Thuận</t>
  </si>
  <si>
    <t>Số thôn: 3</t>
  </si>
  <si>
    <t>Số thôn: 5 thôn</t>
  </si>
  <si>
    <t>E</t>
  </si>
  <si>
    <t>E.1</t>
  </si>
  <si>
    <t>E.2</t>
  </si>
  <si>
    <t>E.3</t>
  </si>
  <si>
    <t>E.4</t>
  </si>
  <si>
    <t>E.5</t>
  </si>
  <si>
    <t>E.6</t>
  </si>
  <si>
    <t>E.7</t>
  </si>
  <si>
    <t>E.8</t>
  </si>
  <si>
    <t>Nguyễn T.Xuân Cường</t>
  </si>
  <si>
    <t>Nguyễn Văn Dương</t>
  </si>
  <si>
    <t>Phạm Đức Bảo</t>
  </si>
  <si>
    <t>Trần Văn Nghiêm</t>
  </si>
  <si>
    <t>Nguyễn Văn Thạch</t>
  </si>
  <si>
    <t>Ngô Văn Hợp</t>
  </si>
  <si>
    <t>Đặng Trung Hòa</t>
  </si>
  <si>
    <t>Tà Thía Banh</t>
  </si>
  <si>
    <t>Phụ cấp huyện ủy viên</t>
  </si>
  <si>
    <t>Nguyễn Thị Thu Loan</t>
  </si>
  <si>
    <t>Nguyễn Đình Thuận</t>
  </si>
  <si>
    <t>Phú Minh Mạng</t>
  </si>
  <si>
    <t>Phụ cấp báo cáo viên</t>
  </si>
  <si>
    <t>Nguyễn T. Xuân Cường</t>
  </si>
  <si>
    <t>Ngô Đức Bổng</t>
  </si>
  <si>
    <t>Phụ cấp cấp ủy chi bộ</t>
  </si>
  <si>
    <t>Trường MN Cà Ná</t>
  </si>
  <si>
    <t>Phụ cấp Đại biểu HĐND huyện</t>
  </si>
  <si>
    <t xml:space="preserve">Bà Râu Pếch </t>
  </si>
  <si>
    <t>QUỸ TRỢ CẤP 1 THÁNG THEO QUY ĐỊNH TẠI NGHỊ ĐỊNH SỐ 88/2018/NĐ-CP</t>
  </si>
  <si>
    <t>BẢO HIỂM Y TẾ TĂNG THÊM 1 THÁNG</t>
  </si>
  <si>
    <t>TT</t>
  </si>
  <si>
    <t>Nội dung</t>
  </si>
  <si>
    <t xml:space="preserve">BHYT tăng thêm </t>
  </si>
  <si>
    <t>1 tháng</t>
  </si>
  <si>
    <t>năm 2012</t>
  </si>
  <si>
    <t/>
  </si>
  <si>
    <t>(4) = (3) - (2)</t>
  </si>
  <si>
    <t>(5) = (1) x 0,09 x 4,5%</t>
  </si>
  <si>
    <t>(7) = ((4)+(5)) x 6T</t>
  </si>
  <si>
    <t>Ghi chú</t>
  </si>
  <si>
    <t>UBND xã Phước Hà</t>
  </si>
  <si>
    <t>Tên cơ quan, đơn vị</t>
  </si>
  <si>
    <t>3=1+2</t>
  </si>
  <si>
    <t xml:space="preserve">Văn phòng Cấp ủy và Chính quyền huyện </t>
  </si>
  <si>
    <t>Dự toán bổ sung (Mã nguồn 14)</t>
  </si>
  <si>
    <t>Cấp huyện</t>
  </si>
  <si>
    <t>Biểu số 02</t>
  </si>
  <si>
    <t>Biên chế được cấp có thẩm quyền giao hoặc phê duyệt năm 2019</t>
  </si>
  <si>
    <t>Tổng số đối tượng hưởng lương có mặt đến ngày 01/7/2019</t>
  </si>
  <si>
    <t>Nhu cầu kinh phí 1 tháng</t>
  </si>
  <si>
    <t>Tổng nhu cầu kinh phí  năm 2019</t>
  </si>
  <si>
    <t>26=5 x 100 ngàn đồng</t>
  </si>
  <si>
    <t>27=26*6 tháng</t>
  </si>
  <si>
    <t xml:space="preserve">Nguyễn Thị Minh Thư </t>
  </si>
  <si>
    <t>Kiều Thanh Nhõa</t>
  </si>
  <si>
    <t xml:space="preserve">Nguyễn Thị Thùy Viên </t>
  </si>
  <si>
    <t xml:space="preserve">Lê Thị Bích Duyên </t>
  </si>
  <si>
    <t xml:space="preserve">Nguyễn Đức Chiến </t>
  </si>
  <si>
    <t xml:space="preserve">Thạch Ngọc Khánh </t>
  </si>
  <si>
    <t xml:space="preserve">Đinh Thị Mỹ An </t>
  </si>
  <si>
    <t xml:space="preserve">Đinh Nguyễn Thùy Dung </t>
  </si>
  <si>
    <t xml:space="preserve">Lê Đình Đăng </t>
  </si>
  <si>
    <t>Chi theo lệnh chi tiền</t>
  </si>
  <si>
    <t>Châu Thanh Hải</t>
  </si>
  <si>
    <t>Nguyễn Thị Hồng Thắm</t>
  </si>
  <si>
    <t>Chi theo rút dự toán</t>
  </si>
  <si>
    <t>Ủy ban MTTQVN huyện</t>
  </si>
  <si>
    <t>Kiều Văn Đay</t>
  </si>
  <si>
    <t>Hội Người cao tuổi</t>
  </si>
  <si>
    <t>Huỳnh Xuân Hòa</t>
  </si>
  <si>
    <t>Hội Đông Y</t>
  </si>
  <si>
    <t>Châu Văn Tiến</t>
  </si>
  <si>
    <t>Lê Văn Tuyến</t>
  </si>
  <si>
    <t>Phan Thị Thu Tuyến</t>
  </si>
  <si>
    <t>Hội Khuyến học</t>
  </si>
  <si>
    <t>Nguyễn Thị Liên</t>
  </si>
  <si>
    <t>Hội Tù yêu nước</t>
  </si>
  <si>
    <t>Phạm Ngọc sáng</t>
  </si>
  <si>
    <t>Huỳnh Phan Đan Thục</t>
  </si>
  <si>
    <t>Hội cựu thanh niên xung phong</t>
  </si>
  <si>
    <t>Hỗ trợ trẻ 3,4,5 tuổi ăn trưa (690 trẻ)</t>
  </si>
  <si>
    <t xml:space="preserve">Trường TH Thương Diêm </t>
  </si>
  <si>
    <t>Trường TH  Lạc Nghiệp</t>
  </si>
  <si>
    <t>Trường TH Sơn Hải</t>
  </si>
  <si>
    <t xml:space="preserve">Trường TH Từ Thiện </t>
  </si>
  <si>
    <t xml:space="preserve">Trường TH Giá </t>
  </si>
  <si>
    <t xml:space="preserve">Trường TH Lạc Tiến </t>
  </si>
  <si>
    <t>Trường PTDTBT-THCS Phước Hà</t>
  </si>
  <si>
    <t>Trường THCS Nguyễn B Khiêm</t>
  </si>
  <si>
    <t>Hỗ trợ ăn trưa cho HS theo ND 116/2016/NĐ-CP (57 hs)</t>
  </si>
  <si>
    <t>Trung tâm bồi dưỡng chính trị</t>
  </si>
  <si>
    <t>Nguyễn Thiên Đông Y</t>
  </si>
  <si>
    <t>Nguyễn Thị Phương Tâm</t>
  </si>
  <si>
    <t>Trung tâm Văn hóa - Thể thao và truyền thanh</t>
  </si>
  <si>
    <t>Sự nghiệp truyền thanh</t>
  </si>
  <si>
    <t>Cán bộ xã nghỉ việc</t>
  </si>
  <si>
    <t>Huỳnh Văn Tín</t>
  </si>
  <si>
    <t xml:space="preserve">Lê Thị Bích Diễm </t>
  </si>
  <si>
    <t>Nguyễn Duy Phương</t>
  </si>
  <si>
    <t>Cổ Nguyễn Ái Hòa</t>
  </si>
  <si>
    <t>TỔNG SỐ NGƯỜI NGHỈ VIỆC HƯỞNG TRỢ CẤP HÀNG THÁNG ĐẾN 01/7/2019</t>
  </si>
  <si>
    <t>QUỸ TRỢ CẤP 1 THÁNG THEO QUY ĐỊNH TẠI NGHỊ ĐỊNH SỐ 44/2019/NĐ-CP</t>
  </si>
  <si>
    <t xml:space="preserve">QUỸ TRỢ CẤP 1 THÁNG TĂNG THÊM </t>
  </si>
  <si>
    <t>TỔNG QUỸ TRỢ CẤP TĂNG THÊM NĂM 2019</t>
  </si>
  <si>
    <t>BẢNG TỔNG HỢP QUỸ TRỢ CẤP TĂNG THÊM NĂM 2019 CỦA CÁN BỘ XÃ 
ĐÃ NGHỈ VIỆC HƯỞNG TRỢ CẤP HÀNG THÁNG TỪ NGÂN SÁCH NHÀ NƯỚC</t>
  </si>
  <si>
    <t>Đặng Trung Hòa (Luân chuyển Bí thư xã Phước Dinh)</t>
  </si>
  <si>
    <t>TỔNG CỘNG (A+B+C+D+E)</t>
  </si>
  <si>
    <t>Hỗ trợ ăn trưa cho HS và người cấp dưỡng theo ND 116/2016/NĐ-CP (192 hs, 4 người cấp dưỡng)</t>
  </si>
  <si>
    <t>Khối trường học</t>
  </si>
  <si>
    <t>I.1</t>
  </si>
  <si>
    <t>I.2</t>
  </si>
  <si>
    <t>I.3</t>
  </si>
  <si>
    <t>BẢNG TỔNG HỢP NGUỒN VÀ NHU CẦU KINH PHÍ THỰC HIỆN NGHỊ ĐỊNH SỐ 38/2019/NĐ-CP VÀ NGHỊ ĐỊNH 44/2019/NĐ-CP CỦA CHÍNH PHỦ NĂM 2019</t>
  </si>
  <si>
    <t>Nhu cầu kinh phí điều chỉnh mức lương cơ sở theo Nghị định số 38/2019/NĐ-CP năm 2019</t>
  </si>
  <si>
    <t>Nguồn điều chỉnh mức lương cơ sở năm 2019</t>
  </si>
  <si>
    <t>Số đề nghị bổ sung để thực hiện tiền lương tăng thêm (nếu có)</t>
  </si>
  <si>
    <t xml:space="preserve">Nguồn điều chỉnh mức lương cơ sở năm 2019 chưa sử dụng hết chuyển sang năm sau (nếu có) </t>
  </si>
  <si>
    <t>Tổng số</t>
  </si>
  <si>
    <t>Nguồn thực hiện cải cách tiền lương đến hết năm 2018 chưa sử dụng hết chuyển sang (nếu có)</t>
  </si>
  <si>
    <t>Số thu để lại theo chế độ để thực hiện điều chỉnh mức lương cơ sở năm 2019</t>
  </si>
  <si>
    <t>Nguồn tiết kiệm 10% chi thường xuyên (không kể các khoản chi tiền lương, phụ cấp theo lương, các khoản có tính chất lương và các khoản chi cho con người theo chế độ) dự toán năm 2019 được cấp có thẩm quyền giao</t>
  </si>
  <si>
    <t>2=3+4+5</t>
  </si>
  <si>
    <t>6=1-2</t>
  </si>
  <si>
    <t>7=2-1</t>
  </si>
  <si>
    <t>Cơ quan cấp huyện</t>
  </si>
  <si>
    <t>Sự nghiệp đào tạo</t>
  </si>
  <si>
    <t>-</t>
  </si>
  <si>
    <t>Sự nghiệp giáo dục</t>
  </si>
  <si>
    <t>Giáo dục MN, TH và THCS</t>
  </si>
  <si>
    <t>Sự nghiệp kinh tế</t>
  </si>
  <si>
    <t>Sự nghiệp văn hóa - thể thao</t>
  </si>
  <si>
    <t>UBND các xã</t>
  </si>
  <si>
    <t>Cấp theo hình thức lệnh chi tiền</t>
  </si>
  <si>
    <t>Cấp hình thức rút dự toán</t>
  </si>
  <si>
    <t>DANH SÁCH CÁC CƠ QUAN, ĐƠN VỊ VÀ UBND CÁC XÃ ĐƯỢC BỔ SUNG DỰ TOÁN CHI NGÂN SÁCH NĂM 2019</t>
  </si>
  <si>
    <t>Thực hiện NĐ 38/2019/NĐ-CP</t>
  </si>
  <si>
    <t>Thực hiện NĐ 44/2019/NĐ-CP</t>
  </si>
  <si>
    <t>Trong đó: Cấp hình thức rút dự toán</t>
  </si>
  <si>
    <t>Trong đó: Sự nghiệp giáo dục MN, TH và THCS</t>
  </si>
  <si>
    <t>Biểu số 01</t>
  </si>
  <si>
    <t>BẢNG TỔNG HỢP NHU CẦU KINH PHÍ THỰC HIỆN NGHỊ ĐỊNH SỐ 38/2019/NĐ-CP NĂM 2019</t>
  </si>
  <si>
    <t>(Kèm theo Tờ trình số          /PTCKH-NS ngày      /9/2019 của Phòng Tài chính - Kế hoạch)</t>
  </si>
  <si>
    <t>(Kèm theo Tờ trình số       /PTCKH-NS ngày      /9/2019 của Phòng Tài chính - Kế hoạch)</t>
  </si>
  <si>
    <t xml:space="preserve">luong </t>
  </si>
  <si>
    <t>khác</t>
  </si>
  <si>
    <t>Tổng cộng (I+II)</t>
  </si>
  <si>
    <t>(Kèm theo Quyết định số      /QĐ-UBND ngày      /10/2019 của Chủ tịch Ủy ban nhân dân huyện)</t>
  </si>
  <si>
    <t>Phụ lục 01</t>
  </si>
  <si>
    <t>(Kèm theo Tờ trình số 196/PTCKH-NS ngày 07/10/2019 của Phòng Tài chính - Kế hoạch)</t>
  </si>
  <si>
    <t>Phụ lục 02</t>
  </si>
  <si>
    <t>(Kèm theo Tờ trình số 195/PTCKH-NS ngày 07/10/2019 của Phòng Tài chính - Kế hoạch)</t>
  </si>
  <si>
    <t>Đào Ngọc Kỷ (PC chi ủy Chi bộ)</t>
  </si>
  <si>
    <t>Diệp Như Tánh (PC chi ủy Chi bộ)</t>
  </si>
  <si>
    <r>
      <t xml:space="preserve">Bằng chữ: </t>
    </r>
    <r>
      <rPr>
        <i/>
        <sz val="12.5"/>
        <rFont val="Times New Roman"/>
        <family val="1"/>
      </rPr>
      <t>Một tỷ, chín trăm chín mươi triệu, năm trăm chín mươi mốt ngàn, năm trăm chín mươi tám đồng.</t>
    </r>
  </si>
  <si>
    <t>Bằng chữ: Một tỷ, chín trăm chín mươi triệu, năm trăm chín mươi mốt ngàn, năm trăm chín mươi tám đồng.</t>
  </si>
  <si>
    <t>HUYỆN THUẬN NAM</t>
  </si>
  <si>
    <t>ỦY BAN NHÂN DÂN</t>
  </si>
</sst>
</file>

<file path=xl/styles.xml><?xml version="1.0" encoding="utf-8"?>
<styleSheet xmlns="http://schemas.openxmlformats.org/spreadsheetml/2006/main">
  <numFmts count="12">
    <numFmt numFmtId="41" formatCode="_-* #,##0\ _₫_-;\-* #,##0\ _₫_-;_-* &quot;-&quot;\ _₫_-;_-@_-"/>
    <numFmt numFmtId="44" formatCode="_-* #,##0.00\ &quot;₫&quot;_-;\-* #,##0.00\ &quot;₫&quot;_-;_-* &quot;-&quot;??\ &quot;₫&quot;_-;_-@_-"/>
    <numFmt numFmtId="43" formatCode="_-* #,##0.00\ _₫_-;\-* #,##0.00\ _₫_-;_-* &quot;-&quot;??\ _₫_-;_-@_-"/>
    <numFmt numFmtId="164" formatCode="_-* #,##0.00_-;\-* #,##0.00_-;_-* &quot;-&quot;??_-;_-@_-"/>
    <numFmt numFmtId="165" formatCode="_-* #,##0_-;\-* #,##0_-;_-* &quot;-&quot;??_-;_-@_-"/>
    <numFmt numFmtId="166" formatCode="_-* #,##0.00\ _€_-;\-* #,##0.00\ _€_-;_-* &quot;-&quot;??\ _€_-;_-@_-"/>
    <numFmt numFmtId="167" formatCode="_-* #,##0.000_-;\-* #,##0.000_-;_-* &quot;-&quot;??_-;_-@_-"/>
    <numFmt numFmtId="171" formatCode="_(* #,##0.000_);_(* \(#,##0.000\);_(* &quot;-&quot;??_);_(@_)"/>
    <numFmt numFmtId="174" formatCode="_(* #,##0_);_(* \(#,##0\);_(* &quot;-&quot;??_);_(@_)"/>
    <numFmt numFmtId="176" formatCode="#,##0;[Red]#,##0"/>
    <numFmt numFmtId="178" formatCode="_-* #,##0\ _₫_-;\-* #,##0\ _₫_-;_-* &quot;-&quot;??\ _₫_-;_-@_-"/>
    <numFmt numFmtId="179" formatCode="_-* #,##0.00\ _₫_-;\-* #,##0.00\ _₫_-;_-* &quot;-&quot;\ _₫_-;_-@_-"/>
  </numFmts>
  <fonts count="81">
    <font>
      <sz val="11"/>
      <color theme="1"/>
      <name val="Calibri"/>
      <family val="2"/>
      <scheme val="minor"/>
    </font>
    <font>
      <sz val="10"/>
      <color indexed="8"/>
      <name val="Times New Roman"/>
      <family val="1"/>
    </font>
    <font>
      <sz val="11"/>
      <color indexed="8"/>
      <name val="Times New Roman"/>
      <family val="1"/>
    </font>
    <font>
      <b/>
      <sz val="10"/>
      <color indexed="8"/>
      <name val="Times New Roman"/>
      <family val="1"/>
    </font>
    <font>
      <sz val="12"/>
      <color indexed="8"/>
      <name val="Times New Roman"/>
      <family val="1"/>
    </font>
    <font>
      <b/>
      <sz val="12"/>
      <color indexed="8"/>
      <name val="Times New Roman"/>
      <family val="1"/>
    </font>
    <font>
      <i/>
      <sz val="12"/>
      <color indexed="8"/>
      <name val="Times New Roman"/>
      <family val="1"/>
    </font>
    <font>
      <sz val="11"/>
      <color indexed="8"/>
      <name val="Calibri"/>
      <family val="2"/>
    </font>
    <font>
      <sz val="10"/>
      <name val="Arial"/>
      <family val="2"/>
      <charset val="163"/>
    </font>
    <font>
      <sz val="12"/>
      <name val="Times New Roman"/>
      <family val="1"/>
    </font>
    <font>
      <b/>
      <sz val="9"/>
      <color indexed="81"/>
      <name val="Tahoma"/>
      <family val="2"/>
      <charset val="163"/>
    </font>
    <font>
      <sz val="9"/>
      <color indexed="81"/>
      <name val="Tahoma"/>
      <family val="2"/>
      <charset val="163"/>
    </font>
    <font>
      <b/>
      <sz val="12"/>
      <color indexed="8"/>
      <name val="Times New Roman"/>
      <family val="1"/>
      <charset val="163"/>
    </font>
    <font>
      <i/>
      <sz val="13"/>
      <color indexed="8"/>
      <name val="Times New Roman"/>
      <family val="1"/>
    </font>
    <font>
      <b/>
      <sz val="13"/>
      <color indexed="8"/>
      <name val="Times New Roman"/>
      <family val="1"/>
    </font>
    <font>
      <i/>
      <sz val="9"/>
      <color indexed="8"/>
      <name val="Times New Roman"/>
      <family val="1"/>
    </font>
    <font>
      <sz val="13"/>
      <color indexed="8"/>
      <name val="Times New Roman"/>
      <family val="1"/>
    </font>
    <font>
      <b/>
      <sz val="15"/>
      <color indexed="8"/>
      <name val="Times New Roman"/>
      <family val="1"/>
    </font>
    <font>
      <i/>
      <sz val="14"/>
      <color indexed="8"/>
      <name val="Times New Roman"/>
      <family val="1"/>
      <charset val="163"/>
    </font>
    <font>
      <sz val="8"/>
      <name val="Calibri"/>
      <family val="2"/>
    </font>
    <font>
      <b/>
      <sz val="12"/>
      <name val="Times New Roman"/>
      <family val="1"/>
    </font>
    <font>
      <sz val="10"/>
      <name val="Times New Roman"/>
      <family val="1"/>
    </font>
    <font>
      <sz val="12"/>
      <color indexed="8"/>
      <name val="Times New Roman"/>
      <family val="1"/>
      <charset val="163"/>
    </font>
    <font>
      <sz val="12"/>
      <name val="Times New Roman"/>
      <family val="1"/>
      <charset val="163"/>
    </font>
    <font>
      <sz val="10"/>
      <name val="Arial"/>
      <family val="2"/>
    </font>
    <font>
      <b/>
      <sz val="10"/>
      <name val="Times New Roman"/>
      <family val="1"/>
    </font>
    <font>
      <b/>
      <i/>
      <sz val="10"/>
      <color indexed="8"/>
      <name val="Times New Roman"/>
      <family val="1"/>
    </font>
    <font>
      <b/>
      <sz val="10"/>
      <color indexed="8"/>
      <name val="Times New Roman"/>
      <family val="1"/>
      <charset val="163"/>
    </font>
    <font>
      <i/>
      <sz val="10"/>
      <name val="Times New Roman"/>
      <family val="1"/>
    </font>
    <font>
      <sz val="10"/>
      <color indexed="10"/>
      <name val="Times New Roman"/>
      <family val="1"/>
    </font>
    <font>
      <i/>
      <sz val="10"/>
      <color indexed="10"/>
      <name val="Times New Roman"/>
      <family val="1"/>
    </font>
    <font>
      <sz val="10"/>
      <name val="VNI-Times"/>
    </font>
    <font>
      <sz val="10"/>
      <color indexed="8"/>
      <name val="Times New Roman"/>
      <family val="1"/>
      <charset val="163"/>
    </font>
    <font>
      <b/>
      <sz val="12"/>
      <color indexed="10"/>
      <name val="Times New Roman"/>
      <family val="1"/>
    </font>
    <font>
      <sz val="12"/>
      <color indexed="10"/>
      <name val="Times New Roman"/>
      <family val="1"/>
    </font>
    <font>
      <i/>
      <sz val="12"/>
      <color indexed="10"/>
      <name val="Times New Roman"/>
      <family val="1"/>
    </font>
    <font>
      <i/>
      <sz val="12"/>
      <name val="Times New Roman"/>
      <family val="1"/>
    </font>
    <font>
      <sz val="12"/>
      <name val="VNI-Times"/>
    </font>
    <font>
      <sz val="13"/>
      <name val="Times New Roman"/>
      <charset val="163"/>
    </font>
    <font>
      <b/>
      <sz val="8"/>
      <color indexed="81"/>
      <name val="Tahoma"/>
    </font>
    <font>
      <sz val="8"/>
      <color indexed="81"/>
      <name val="Tahoma"/>
    </font>
    <font>
      <sz val="8"/>
      <color indexed="81"/>
      <name val="Tahoma"/>
      <charset val="163"/>
    </font>
    <font>
      <b/>
      <sz val="8"/>
      <color indexed="81"/>
      <name val="Tahoma"/>
      <charset val="163"/>
    </font>
    <font>
      <b/>
      <i/>
      <sz val="10"/>
      <name val="Times New Roman"/>
      <family val="1"/>
    </font>
    <font>
      <b/>
      <sz val="12"/>
      <name val="VNI-Times"/>
    </font>
    <font>
      <b/>
      <sz val="11"/>
      <name val="Times New Roman"/>
      <family val="1"/>
    </font>
    <font>
      <sz val="11"/>
      <name val="Times New Roman"/>
      <family val="1"/>
    </font>
    <font>
      <b/>
      <sz val="12"/>
      <name val="Times New Roman"/>
      <family val="1"/>
      <charset val="163"/>
    </font>
    <font>
      <b/>
      <sz val="15"/>
      <name val="Times New Roman"/>
      <family val="1"/>
      <charset val="163"/>
    </font>
    <font>
      <sz val="15"/>
      <name val="Times New Roman"/>
      <family val="1"/>
      <charset val="163"/>
    </font>
    <font>
      <i/>
      <sz val="14"/>
      <name val="Times New Roman"/>
      <family val="1"/>
      <charset val="163"/>
    </font>
    <font>
      <i/>
      <sz val="12"/>
      <name val="Times New Roman"/>
      <family val="1"/>
      <charset val="163"/>
    </font>
    <font>
      <i/>
      <sz val="13"/>
      <name val="Times New Roman"/>
      <family val="1"/>
      <charset val="163"/>
    </font>
    <font>
      <b/>
      <sz val="11"/>
      <name val="Times New Roman"/>
      <family val="1"/>
      <charset val="163"/>
    </font>
    <font>
      <sz val="11"/>
      <name val="Times New Roman"/>
      <family val="1"/>
      <charset val="163"/>
    </font>
    <font>
      <sz val="13"/>
      <name val="Times New Roman"/>
      <family val="1"/>
      <charset val="163"/>
    </font>
    <font>
      <u/>
      <sz val="12"/>
      <name val="Times New Roman"/>
      <family val="1"/>
      <charset val="163"/>
    </font>
    <font>
      <b/>
      <sz val="13"/>
      <name val="Times New Roman"/>
      <family val="1"/>
      <charset val="163"/>
    </font>
    <font>
      <i/>
      <sz val="11"/>
      <name val="Times New Roman"/>
      <family val="1"/>
      <charset val="163"/>
    </font>
    <font>
      <b/>
      <sz val="13"/>
      <name val="Times New Roman"/>
      <family val="1"/>
    </font>
    <font>
      <b/>
      <sz val="14"/>
      <name val="Times New Roman"/>
      <family val="1"/>
    </font>
    <font>
      <i/>
      <sz val="13"/>
      <name val="Times New Roman"/>
      <family val="1"/>
    </font>
    <font>
      <sz val="13"/>
      <name val="Times New Roman"/>
      <family val="1"/>
    </font>
    <font>
      <sz val="14"/>
      <name val="Times New Roman"/>
      <charset val="163"/>
    </font>
    <font>
      <sz val="14"/>
      <name val="Times New Roman"/>
      <family val="1"/>
    </font>
    <font>
      <i/>
      <sz val="11"/>
      <name val="Times New Roman"/>
      <family val="1"/>
    </font>
    <font>
      <b/>
      <sz val="10"/>
      <color indexed="10"/>
      <name val="Times New Roman"/>
      <family val="1"/>
    </font>
    <font>
      <b/>
      <sz val="12"/>
      <color indexed="10"/>
      <name val="Times New Roman"/>
      <family val="1"/>
      <charset val="163"/>
    </font>
    <font>
      <sz val="14"/>
      <name val=".VnTime"/>
      <family val="2"/>
    </font>
    <font>
      <b/>
      <sz val="14"/>
      <name val=".VnTimeH"/>
      <family val="2"/>
    </font>
    <font>
      <i/>
      <sz val="14"/>
      <name val=".VnTime"/>
      <family val="2"/>
    </font>
    <font>
      <sz val="10"/>
      <name val=".VnTime"/>
      <family val="2"/>
    </font>
    <font>
      <i/>
      <sz val="14"/>
      <color indexed="8"/>
      <name val="Times New Roman"/>
      <family val="1"/>
    </font>
    <font>
      <b/>
      <sz val="13"/>
      <name val=".VnTimeH"/>
      <family val="2"/>
    </font>
    <font>
      <sz val="12"/>
      <name val=".VnTime"/>
      <family val="2"/>
    </font>
    <font>
      <sz val="12"/>
      <name val="Cambria"/>
      <family val="1"/>
      <charset val="163"/>
    </font>
    <font>
      <i/>
      <sz val="12"/>
      <name val="Cambria"/>
      <family val="1"/>
      <charset val="163"/>
    </font>
    <font>
      <b/>
      <sz val="12"/>
      <name val="Cambria"/>
      <family val="1"/>
      <charset val="163"/>
    </font>
    <font>
      <b/>
      <u/>
      <sz val="12"/>
      <name val="Times New Roman"/>
      <family val="1"/>
      <charset val="163"/>
    </font>
    <font>
      <sz val="12.5"/>
      <name val="Times New Roman"/>
      <family val="1"/>
    </font>
    <font>
      <i/>
      <sz val="12.5"/>
      <name val="Times New Roman"/>
      <family val="1"/>
    </font>
  </fonts>
  <fills count="3">
    <fill>
      <patternFill patternType="none"/>
    </fill>
    <fill>
      <patternFill patternType="gray125"/>
    </fill>
    <fill>
      <patternFill patternType="solid">
        <fgColor indexed="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5">
    <xf numFmtId="0" fontId="0" fillId="0" borderId="0"/>
    <xf numFmtId="164" fontId="7" fillId="0" borderId="0" applyFont="0" applyFill="0" applyBorder="0" applyAlignment="0" applyProtection="0"/>
    <xf numFmtId="166" fontId="8" fillId="0" borderId="0" applyFont="0" applyFill="0" applyBorder="0" applyAlignment="0" applyProtection="0"/>
    <xf numFmtId="0" fontId="8" fillId="0" borderId="0"/>
    <xf numFmtId="0" fontId="24" fillId="0" borderId="0"/>
  </cellStyleXfs>
  <cellXfs count="524">
    <xf numFmtId="0" fontId="0" fillId="0" borderId="0" xfId="0"/>
    <xf numFmtId="0" fontId="4" fillId="0" borderId="0" xfId="0" applyFont="1"/>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164" fontId="5" fillId="0" borderId="0" xfId="1" applyFont="1" applyAlignment="1">
      <alignment vertical="center" wrapText="1"/>
    </xf>
    <xf numFmtId="164" fontId="4" fillId="0" borderId="0" xfId="1" applyFont="1"/>
    <xf numFmtId="165" fontId="5" fillId="0" borderId="0" xfId="1" applyNumberFormat="1" applyFont="1" applyAlignment="1">
      <alignment vertical="center" wrapText="1"/>
    </xf>
    <xf numFmtId="165" fontId="4" fillId="0" borderId="0" xfId="1" applyNumberFormat="1" applyFont="1"/>
    <xf numFmtId="165" fontId="4" fillId="0" borderId="0" xfId="1" applyNumberFormat="1" applyFont="1" applyAlignment="1"/>
    <xf numFmtId="0" fontId="1" fillId="0" borderId="0" xfId="0" applyFont="1"/>
    <xf numFmtId="0" fontId="3" fillId="0" borderId="0" xfId="0" applyFont="1"/>
    <xf numFmtId="0" fontId="4"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6" fillId="0" borderId="1" xfId="0" applyFont="1" applyBorder="1" applyAlignment="1">
      <alignment vertical="center" wrapText="1"/>
    </xf>
    <xf numFmtId="0" fontId="4" fillId="0" borderId="1" xfId="0" applyFont="1" applyBorder="1" applyAlignment="1">
      <alignment horizontal="left" vertical="center" wrapText="1"/>
    </xf>
    <xf numFmtId="41" fontId="3" fillId="0" borderId="1" xfId="1" applyNumberFormat="1" applyFont="1" applyBorder="1" applyAlignment="1">
      <alignment vertical="center" wrapText="1"/>
    </xf>
    <xf numFmtId="0" fontId="5" fillId="0" borderId="1" xfId="0" applyFont="1" applyBorder="1" applyAlignment="1">
      <alignment vertical="center" wrapText="1"/>
    </xf>
    <xf numFmtId="0" fontId="4" fillId="0" borderId="0" xfId="0" applyFont="1" applyAlignment="1">
      <alignment horizontal="center"/>
    </xf>
    <xf numFmtId="0" fontId="5"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vertical="center"/>
    </xf>
    <xf numFmtId="0" fontId="22" fillId="0" borderId="1" xfId="0" quotePrefix="1" applyFont="1" applyBorder="1" applyAlignment="1">
      <alignment horizontal="center" vertical="center" wrapText="1"/>
    </xf>
    <xf numFmtId="0" fontId="22" fillId="0" borderId="1" xfId="0" applyFont="1" applyBorder="1" applyAlignment="1">
      <alignment vertical="center" wrapText="1"/>
    </xf>
    <xf numFmtId="0" fontId="23" fillId="0" borderId="1" xfId="0" applyFont="1" applyBorder="1" applyAlignment="1">
      <alignment horizontal="center" vertical="center" wrapText="1"/>
    </xf>
    <xf numFmtId="0" fontId="23" fillId="0" borderId="1" xfId="0" applyFont="1" applyBorder="1" applyAlignment="1">
      <alignment vertical="center" wrapText="1"/>
    </xf>
    <xf numFmtId="0" fontId="20" fillId="0" borderId="1" xfId="0" applyFont="1" applyBorder="1" applyAlignment="1">
      <alignment horizontal="center" vertical="center" wrapText="1"/>
    </xf>
    <xf numFmtId="164" fontId="3" fillId="0" borderId="0" xfId="1" applyFont="1" applyAlignment="1">
      <alignment vertical="center" wrapText="1"/>
    </xf>
    <xf numFmtId="164" fontId="3" fillId="0" borderId="1" xfId="1" applyFont="1" applyBorder="1" applyAlignment="1">
      <alignment vertical="center" wrapText="1"/>
    </xf>
    <xf numFmtId="165" fontId="3" fillId="0" borderId="1" xfId="1" applyNumberFormat="1" applyFont="1" applyBorder="1" applyAlignment="1">
      <alignment vertical="center" wrapText="1"/>
    </xf>
    <xf numFmtId="165" fontId="21" fillId="0" borderId="1" xfId="1" applyNumberFormat="1" applyFont="1" applyBorder="1" applyAlignment="1">
      <alignment vertical="center" wrapText="1"/>
    </xf>
    <xf numFmtId="165" fontId="1" fillId="0" borderId="1" xfId="1" applyNumberFormat="1" applyFont="1" applyBorder="1" applyAlignment="1">
      <alignment vertical="center" wrapText="1"/>
    </xf>
    <xf numFmtId="165" fontId="25" fillId="0" borderId="1" xfId="1" applyNumberFormat="1" applyFont="1" applyBorder="1" applyAlignment="1">
      <alignment vertical="center" wrapText="1"/>
    </xf>
    <xf numFmtId="41" fontId="3" fillId="0" borderId="1" xfId="1" applyNumberFormat="1" applyFont="1" applyFill="1" applyBorder="1" applyAlignment="1">
      <alignment horizontal="right" vertical="center" wrapText="1"/>
    </xf>
    <xf numFmtId="164" fontId="1" fillId="0" borderId="0" xfId="1" applyFont="1"/>
    <xf numFmtId="0" fontId="27" fillId="0" borderId="0" xfId="0" applyFont="1"/>
    <xf numFmtId="164" fontId="21" fillId="0" borderId="1" xfId="1" applyFont="1" applyBorder="1" applyAlignment="1">
      <alignment vertical="center" wrapText="1"/>
    </xf>
    <xf numFmtId="0" fontId="21" fillId="0" borderId="0" xfId="0" applyFont="1"/>
    <xf numFmtId="164" fontId="1" fillId="0" borderId="1" xfId="1" applyNumberFormat="1" applyFont="1" applyBorder="1" applyAlignment="1">
      <alignment vertical="center" wrapText="1"/>
    </xf>
    <xf numFmtId="164" fontId="25" fillId="0" borderId="1" xfId="1" applyFont="1" applyBorder="1" applyAlignment="1">
      <alignment vertical="center" wrapText="1"/>
    </xf>
    <xf numFmtId="164" fontId="3" fillId="0" borderId="1" xfId="1" applyNumberFormat="1" applyFont="1" applyBorder="1" applyAlignment="1">
      <alignment vertical="center" wrapText="1"/>
    </xf>
    <xf numFmtId="165" fontId="1" fillId="0" borderId="1" xfId="1" applyNumberFormat="1" applyFont="1" applyBorder="1" applyAlignment="1">
      <alignment horizontal="left" vertical="center" wrapText="1"/>
    </xf>
    <xf numFmtId="164" fontId="21" fillId="0" borderId="1" xfId="1" applyNumberFormat="1" applyFont="1" applyBorder="1" applyAlignment="1">
      <alignment vertical="center"/>
    </xf>
    <xf numFmtId="0" fontId="1" fillId="0" borderId="0" xfId="0" applyFont="1" applyAlignment="1">
      <alignment vertical="center"/>
    </xf>
    <xf numFmtId="0" fontId="5" fillId="0" borderId="1" xfId="0" applyFont="1" applyFill="1" applyBorder="1" applyAlignment="1">
      <alignment vertical="center"/>
    </xf>
    <xf numFmtId="0" fontId="9" fillId="0" borderId="1" xfId="0" applyFont="1" applyBorder="1" applyAlignment="1">
      <alignment horizontal="left" vertical="center" wrapText="1"/>
    </xf>
    <xf numFmtId="0" fontId="20" fillId="0" borderId="1" xfId="0" applyFont="1" applyBorder="1" applyAlignment="1">
      <alignment horizontal="left" vertical="center" wrapText="1"/>
    </xf>
    <xf numFmtId="0" fontId="9" fillId="0" borderId="1" xfId="0" quotePrefix="1"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9" fillId="0" borderId="0" xfId="0" applyFont="1"/>
    <xf numFmtId="0" fontId="9" fillId="0" borderId="1" xfId="0" applyFont="1" applyBorder="1"/>
    <xf numFmtId="165" fontId="3" fillId="0" borderId="1" xfId="1" applyNumberFormat="1" applyFont="1" applyBorder="1" applyAlignment="1">
      <alignment horizontal="center" vertical="center" wrapText="1"/>
    </xf>
    <xf numFmtId="164" fontId="3" fillId="0" borderId="1" xfId="1" applyNumberFormat="1" applyFont="1" applyBorder="1" applyAlignment="1">
      <alignment horizontal="center" vertical="center" wrapText="1"/>
    </xf>
    <xf numFmtId="0" fontId="20" fillId="0" borderId="1" xfId="0" applyFont="1" applyBorder="1" applyAlignment="1">
      <alignment vertical="center"/>
    </xf>
    <xf numFmtId="0" fontId="9" fillId="0" borderId="1" xfId="0" applyFont="1" applyBorder="1" applyAlignment="1">
      <alignment vertical="center"/>
    </xf>
    <xf numFmtId="0" fontId="25" fillId="0" borderId="1" xfId="0" applyFont="1" applyBorder="1" applyAlignment="1">
      <alignment vertical="center"/>
    </xf>
    <xf numFmtId="176" fontId="25" fillId="0" borderId="1" xfId="0" applyNumberFormat="1" applyFont="1" applyBorder="1" applyAlignment="1">
      <alignment vertical="center"/>
    </xf>
    <xf numFmtId="0" fontId="20" fillId="0" borderId="1" xfId="0" applyFont="1" applyBorder="1" applyAlignment="1">
      <alignment vertical="center" wrapText="1"/>
    </xf>
    <xf numFmtId="0" fontId="21" fillId="0" borderId="1" xfId="0" applyFont="1" applyBorder="1" applyAlignment="1">
      <alignment horizontal="center" vertical="center"/>
    </xf>
    <xf numFmtId="0" fontId="5" fillId="0" borderId="1" xfId="0" applyFont="1" applyFill="1" applyBorder="1" applyAlignment="1">
      <alignment horizontal="center"/>
    </xf>
    <xf numFmtId="0" fontId="5" fillId="0" borderId="1" xfId="0" applyFont="1" applyBorder="1" applyAlignment="1">
      <alignment horizontal="center"/>
    </xf>
    <xf numFmtId="164" fontId="25" fillId="0" borderId="1" xfId="1" applyNumberFormat="1" applyFont="1" applyBorder="1" applyAlignment="1">
      <alignment vertical="center" wrapText="1"/>
    </xf>
    <xf numFmtId="0" fontId="6" fillId="0" borderId="1" xfId="0" applyFont="1" applyBorder="1" applyAlignment="1">
      <alignment horizontal="center" vertical="center" wrapText="1"/>
    </xf>
    <xf numFmtId="0" fontId="20" fillId="0" borderId="1" xfId="0" applyFont="1" applyBorder="1" applyAlignment="1">
      <alignment horizontal="center" vertical="center"/>
    </xf>
    <xf numFmtId="0" fontId="9" fillId="0" borderId="1" xfId="0" applyFont="1" applyFill="1" applyBorder="1"/>
    <xf numFmtId="0" fontId="20" fillId="0" borderId="1" xfId="0" applyFont="1" applyBorder="1" applyAlignment="1">
      <alignment horizontal="center"/>
    </xf>
    <xf numFmtId="0" fontId="9" fillId="2" borderId="1" xfId="0" applyFont="1" applyFill="1" applyBorder="1" applyAlignment="1">
      <alignment horizontal="left" vertical="center"/>
    </xf>
    <xf numFmtId="0" fontId="9" fillId="2" borderId="1" xfId="0" applyNumberFormat="1" applyFont="1" applyFill="1" applyBorder="1" applyAlignment="1">
      <alignment vertical="center"/>
    </xf>
    <xf numFmtId="0" fontId="9" fillId="2" borderId="1" xfId="0" applyNumberFormat="1" applyFont="1" applyFill="1" applyBorder="1" applyAlignment="1">
      <alignment horizontal="left" vertical="center"/>
    </xf>
    <xf numFmtId="0" fontId="9" fillId="0" borderId="1" xfId="0" quotePrefix="1" applyFont="1" applyFill="1" applyBorder="1" applyAlignment="1">
      <alignment horizontal="center" vertical="center"/>
    </xf>
    <xf numFmtId="0" fontId="9"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1" xfId="0" applyFont="1" applyFill="1" applyBorder="1" applyAlignment="1">
      <alignment vertical="center"/>
    </xf>
    <xf numFmtId="0" fontId="20" fillId="0" borderId="1" xfId="0" applyFont="1" applyFill="1" applyBorder="1" applyAlignment="1">
      <alignment vertical="center" wrapText="1"/>
    </xf>
    <xf numFmtId="0" fontId="9" fillId="0" borderId="1" xfId="0" applyFont="1" applyFill="1" applyBorder="1" applyAlignment="1">
      <alignment vertical="center" wrapText="1"/>
    </xf>
    <xf numFmtId="0" fontId="23" fillId="0" borderId="1" xfId="0" applyFont="1" applyFill="1" applyBorder="1" applyAlignment="1">
      <alignment vertical="center"/>
    </xf>
    <xf numFmtId="164" fontId="5" fillId="0" borderId="1" xfId="1" applyFont="1" applyFill="1" applyBorder="1" applyAlignment="1">
      <alignment horizontal="center" vertical="center" wrapText="1"/>
    </xf>
    <xf numFmtId="0" fontId="9" fillId="0" borderId="1" xfId="0" applyFont="1" applyFill="1" applyBorder="1" applyAlignment="1">
      <alignment horizontal="center"/>
    </xf>
    <xf numFmtId="0" fontId="5" fillId="0" borderId="1" xfId="0" applyFont="1" applyFill="1" applyBorder="1" applyAlignment="1">
      <alignment horizontal="center" vertical="center"/>
    </xf>
    <xf numFmtId="2"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vertical="center" wrapText="1"/>
    </xf>
    <xf numFmtId="0" fontId="12" fillId="0" borderId="1" xfId="0" quotePrefix="1" applyFont="1" applyFill="1" applyBorder="1" applyAlignment="1">
      <alignment horizontal="center" vertical="center"/>
    </xf>
    <xf numFmtId="0" fontId="12" fillId="0" borderId="1" xfId="0" applyFont="1" applyFill="1" applyBorder="1" applyAlignment="1">
      <alignment horizontal="left" vertical="center"/>
    </xf>
    <xf numFmtId="0" fontId="22" fillId="0" borderId="1" xfId="0" quotePrefix="1" applyFont="1" applyFill="1" applyBorder="1" applyAlignment="1">
      <alignment horizontal="center" vertical="center"/>
    </xf>
    <xf numFmtId="0" fontId="22"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22" fillId="0" borderId="1" xfId="0" quotePrefix="1" applyFont="1" applyFill="1" applyBorder="1" applyAlignment="1">
      <alignment horizontal="center" vertical="center" wrapText="1"/>
    </xf>
    <xf numFmtId="0" fontId="4"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7" fillId="0" borderId="1" xfId="0" applyFont="1" applyFill="1" applyBorder="1" applyAlignment="1">
      <alignment vertical="center"/>
    </xf>
    <xf numFmtId="0" fontId="9" fillId="2" borderId="1" xfId="0" applyFont="1" applyFill="1" applyBorder="1" applyAlignment="1">
      <alignment vertical="center"/>
    </xf>
    <xf numFmtId="0" fontId="20" fillId="0" borderId="1" xfId="0" quotePrefix="1" applyFont="1" applyFill="1" applyBorder="1" applyAlignment="1">
      <alignment horizontal="center" vertical="center"/>
    </xf>
    <xf numFmtId="0" fontId="37" fillId="0" borderId="1" xfId="0" applyFont="1" applyFill="1" applyBorder="1" applyAlignment="1">
      <alignment horizontal="center" vertical="center" wrapText="1"/>
    </xf>
    <xf numFmtId="0" fontId="37"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2" fontId="22" fillId="0" borderId="1" xfId="0" quotePrefix="1" applyNumberFormat="1" applyFont="1" applyFill="1" applyBorder="1" applyAlignment="1">
      <alignment horizontal="center" vertical="center" wrapText="1"/>
    </xf>
    <xf numFmtId="2" fontId="37" fillId="0" borderId="1" xfId="0" applyNumberFormat="1" applyFont="1" applyFill="1" applyBorder="1" applyAlignment="1">
      <alignment vertical="center"/>
    </xf>
    <xf numFmtId="2" fontId="37" fillId="0" borderId="1" xfId="0" quotePrefix="1" applyNumberFormat="1" applyFont="1" applyFill="1" applyBorder="1" applyAlignment="1">
      <alignment horizontal="center" vertical="center"/>
    </xf>
    <xf numFmtId="2" fontId="44" fillId="0" borderId="1" xfId="0" applyNumberFormat="1" applyFont="1" applyFill="1" applyBorder="1" applyAlignment="1">
      <alignment horizontal="center" vertical="center"/>
    </xf>
    <xf numFmtId="2" fontId="44" fillId="0" borderId="1" xfId="0" applyNumberFormat="1" applyFont="1" applyFill="1" applyBorder="1" applyAlignment="1">
      <alignment vertical="center"/>
    </xf>
    <xf numFmtId="0" fontId="37" fillId="0" borderId="1" xfId="0" quotePrefix="1" applyFont="1" applyFill="1" applyBorder="1" applyAlignment="1">
      <alignment horizontal="center" wrapText="1"/>
    </xf>
    <xf numFmtId="0" fontId="37" fillId="0" borderId="1" xfId="0" applyFont="1" applyFill="1" applyBorder="1" applyAlignment="1">
      <alignment horizontal="justify" wrapText="1"/>
    </xf>
    <xf numFmtId="0" fontId="37" fillId="0" borderId="1" xfId="0" applyFont="1" applyFill="1" applyBorder="1" applyAlignment="1">
      <alignment horizontal="left" wrapText="1"/>
    </xf>
    <xf numFmtId="0" fontId="9" fillId="0" borderId="1" xfId="0" quotePrefix="1" applyFont="1" applyFill="1" applyBorder="1" applyAlignment="1">
      <alignment horizontal="center" vertical="center" wrapText="1"/>
    </xf>
    <xf numFmtId="0" fontId="20" fillId="0" borderId="1" xfId="0" applyFont="1" applyFill="1" applyBorder="1" applyAlignment="1">
      <alignment horizontal="center"/>
    </xf>
    <xf numFmtId="0" fontId="20" fillId="0" borderId="1" xfId="0" applyFont="1" applyFill="1" applyBorder="1"/>
    <xf numFmtId="0" fontId="23" fillId="0" borderId="1" xfId="0" applyFont="1" applyFill="1" applyBorder="1" applyAlignment="1">
      <alignment horizontal="center" vertical="center" wrapText="1"/>
    </xf>
    <xf numFmtId="0" fontId="23" fillId="0" borderId="1" xfId="0" applyFont="1" applyFill="1" applyBorder="1" applyAlignment="1">
      <alignment vertical="center" wrapText="1"/>
    </xf>
    <xf numFmtId="2" fontId="9" fillId="0" borderId="1" xfId="0" applyNumberFormat="1" applyFont="1" applyFill="1" applyBorder="1" applyAlignment="1">
      <alignment vertical="center"/>
    </xf>
    <xf numFmtId="1" fontId="37" fillId="0" borderId="1" xfId="0" quotePrefix="1" applyNumberFormat="1" applyFont="1" applyFill="1" applyBorder="1" applyAlignment="1">
      <alignment horizontal="center" vertical="center"/>
    </xf>
    <xf numFmtId="0" fontId="9" fillId="0" borderId="1" xfId="0" applyFont="1" applyFill="1" applyBorder="1" applyAlignment="1">
      <alignment horizontal="left" vertical="center"/>
    </xf>
    <xf numFmtId="0" fontId="4" fillId="0" borderId="1" xfId="0" applyFont="1" applyFill="1" applyBorder="1" applyAlignment="1">
      <alignment horizontal="center" vertical="center" wrapText="1"/>
    </xf>
    <xf numFmtId="0" fontId="9" fillId="0" borderId="1" xfId="4" applyFont="1" applyFill="1" applyBorder="1" applyAlignment="1">
      <alignment horizontal="left" vertical="center" wrapText="1"/>
    </xf>
    <xf numFmtId="0" fontId="20" fillId="0" borderId="1" xfId="0" quotePrefix="1" applyFont="1" applyBorder="1" applyAlignment="1">
      <alignment horizontal="center" vertical="center"/>
    </xf>
    <xf numFmtId="0" fontId="20" fillId="0" borderId="1" xfId="0" applyFont="1" applyFill="1" applyBorder="1" applyAlignment="1">
      <alignment horizontal="left" vertical="center"/>
    </xf>
    <xf numFmtId="0" fontId="16" fillId="0" borderId="1" xfId="0" applyFont="1" applyBorder="1" applyAlignment="1">
      <alignment horizontal="center" vertical="center"/>
    </xf>
    <xf numFmtId="0" fontId="16" fillId="0" borderId="1" xfId="0" applyFont="1" applyBorder="1" applyAlignment="1">
      <alignment vertical="center"/>
    </xf>
    <xf numFmtId="0" fontId="45" fillId="0" borderId="1" xfId="0" applyFont="1" applyFill="1" applyBorder="1" applyAlignment="1">
      <alignment vertical="center"/>
    </xf>
    <xf numFmtId="165" fontId="1" fillId="0" borderId="0" xfId="0" applyNumberFormat="1" applyFont="1"/>
    <xf numFmtId="43" fontId="4" fillId="0" borderId="1" xfId="0" applyNumberFormat="1" applyFont="1" applyBorder="1" applyAlignment="1">
      <alignment vertical="center" wrapText="1"/>
    </xf>
    <xf numFmtId="1" fontId="4" fillId="0" borderId="1" xfId="0" applyNumberFormat="1" applyFont="1" applyFill="1" applyBorder="1" applyAlignment="1">
      <alignment horizontal="center" vertical="center" wrapText="1"/>
    </xf>
    <xf numFmtId="0" fontId="23" fillId="0" borderId="0" xfId="3" applyFont="1" applyAlignment="1">
      <alignment vertical="center"/>
    </xf>
    <xf numFmtId="0" fontId="23" fillId="0" borderId="0" xfId="3" applyFont="1" applyAlignment="1">
      <alignment vertical="center" wrapText="1"/>
    </xf>
    <xf numFmtId="0" fontId="51" fillId="0" borderId="0" xfId="3" applyNumberFormat="1" applyFont="1" applyAlignment="1">
      <alignment horizontal="center" vertical="center"/>
    </xf>
    <xf numFmtId="0" fontId="51" fillId="0" borderId="0" xfId="3" applyFont="1" applyAlignment="1">
      <alignment horizontal="center" vertical="center"/>
    </xf>
    <xf numFmtId="0" fontId="47" fillId="0" borderId="0" xfId="3" applyFont="1" applyAlignment="1">
      <alignment vertical="center"/>
    </xf>
    <xf numFmtId="49" fontId="23" fillId="0" borderId="0" xfId="3" applyNumberFormat="1" applyFont="1" applyFill="1" applyAlignment="1">
      <alignment vertical="center"/>
    </xf>
    <xf numFmtId="49" fontId="23" fillId="0" borderId="0" xfId="3" applyNumberFormat="1" applyFont="1" applyAlignment="1">
      <alignment vertical="center"/>
    </xf>
    <xf numFmtId="3" fontId="4" fillId="0" borderId="1" xfId="1" applyNumberFormat="1" applyFont="1" applyBorder="1" applyAlignment="1">
      <alignment horizontal="center" vertical="center" wrapText="1"/>
    </xf>
    <xf numFmtId="176" fontId="12" fillId="0" borderId="1" xfId="1" applyNumberFormat="1" applyFont="1" applyBorder="1" applyAlignment="1">
      <alignment vertical="center" wrapText="1"/>
    </xf>
    <xf numFmtId="176" fontId="12" fillId="0" borderId="1" xfId="1" applyNumberFormat="1" applyFont="1" applyBorder="1" applyAlignment="1">
      <alignment horizontal="right" vertical="center" wrapText="1"/>
    </xf>
    <xf numFmtId="0" fontId="23" fillId="0" borderId="0" xfId="3" applyFont="1" applyBorder="1" applyAlignment="1">
      <alignment vertical="center"/>
    </xf>
    <xf numFmtId="3" fontId="4" fillId="0" borderId="1" xfId="0" applyNumberFormat="1" applyFont="1" applyBorder="1" applyAlignment="1">
      <alignment horizontal="center" vertical="center" wrapText="1"/>
    </xf>
    <xf numFmtId="176" fontId="5" fillId="0" borderId="1" xfId="0" applyNumberFormat="1" applyFont="1" applyBorder="1" applyAlignment="1">
      <alignment horizontal="right" vertical="center" wrapText="1"/>
    </xf>
    <xf numFmtId="165" fontId="2" fillId="0" borderId="1" xfId="1" applyNumberFormat="1" applyFont="1" applyBorder="1" applyAlignment="1">
      <alignment horizontal="center" vertical="center" wrapText="1"/>
    </xf>
    <xf numFmtId="176" fontId="2" fillId="0" borderId="1" xfId="1" applyNumberFormat="1" applyFont="1" applyBorder="1" applyAlignment="1">
      <alignment vertical="center" wrapText="1"/>
    </xf>
    <xf numFmtId="176" fontId="2" fillId="0" borderId="1" xfId="0" applyNumberFormat="1" applyFont="1" applyBorder="1" applyAlignment="1">
      <alignment horizontal="right" vertical="center" wrapText="1"/>
    </xf>
    <xf numFmtId="165" fontId="4" fillId="0" borderId="1" xfId="1" applyNumberFormat="1" applyFont="1" applyBorder="1" applyAlignment="1">
      <alignment horizontal="center" vertical="center" wrapText="1"/>
    </xf>
    <xf numFmtId="176" fontId="4" fillId="0" borderId="1" xfId="1" applyNumberFormat="1" applyFont="1" applyBorder="1" applyAlignment="1">
      <alignment vertical="center" wrapText="1"/>
    </xf>
    <xf numFmtId="176" fontId="4" fillId="0" borderId="1" xfId="0" applyNumberFormat="1" applyFont="1" applyBorder="1" applyAlignment="1">
      <alignment horizontal="right" vertical="center" wrapText="1"/>
    </xf>
    <xf numFmtId="0" fontId="56" fillId="0" borderId="0" xfId="3" applyFont="1" applyAlignment="1">
      <alignment vertical="center"/>
    </xf>
    <xf numFmtId="0" fontId="23" fillId="0" borderId="0" xfId="3" applyFont="1" applyAlignment="1">
      <alignment horizontal="center" vertical="center"/>
    </xf>
    <xf numFmtId="0" fontId="23" fillId="0" borderId="0" xfId="3" quotePrefix="1" applyFont="1" applyBorder="1" applyAlignment="1">
      <alignment vertical="center"/>
    </xf>
    <xf numFmtId="3" fontId="23" fillId="0" borderId="0" xfId="3" applyNumberFormat="1" applyFont="1" applyBorder="1" applyAlignment="1">
      <alignment vertical="center"/>
    </xf>
    <xf numFmtId="0" fontId="57" fillId="0" borderId="0" xfId="3" applyFont="1" applyAlignment="1">
      <alignment vertical="center"/>
    </xf>
    <xf numFmtId="0" fontId="52" fillId="0" borderId="0" xfId="3" applyFont="1" applyAlignment="1">
      <alignment vertical="center"/>
    </xf>
    <xf numFmtId="0" fontId="55" fillId="0" borderId="0" xfId="3" applyFont="1" applyAlignment="1">
      <alignment vertical="center"/>
    </xf>
    <xf numFmtId="0" fontId="58" fillId="0" borderId="0" xfId="3" applyFont="1" applyAlignment="1">
      <alignment vertical="center"/>
    </xf>
    <xf numFmtId="0" fontId="61" fillId="0" borderId="0" xfId="0" applyFont="1" applyAlignment="1">
      <alignment horizontal="right"/>
    </xf>
    <xf numFmtId="44" fontId="59" fillId="0" borderId="1" xfId="0" applyNumberFormat="1" applyFont="1" applyBorder="1" applyAlignment="1">
      <alignment horizontal="center" vertical="center"/>
    </xf>
    <xf numFmtId="3" fontId="62" fillId="0" borderId="1" xfId="0" applyNumberFormat="1" applyFont="1" applyBorder="1" applyAlignment="1">
      <alignment vertical="center"/>
    </xf>
    <xf numFmtId="0" fontId="62" fillId="0" borderId="1" xfId="0" applyFont="1" applyBorder="1" applyAlignment="1">
      <alignment vertical="center"/>
    </xf>
    <xf numFmtId="0" fontId="59" fillId="0" borderId="1" xfId="0" applyFont="1" applyBorder="1" applyAlignment="1">
      <alignment horizontal="center" vertical="center"/>
    </xf>
    <xf numFmtId="3" fontId="59" fillId="0" borderId="1" xfId="0" applyNumberFormat="1" applyFont="1" applyBorder="1" applyAlignment="1">
      <alignment vertical="center"/>
    </xf>
    <xf numFmtId="0" fontId="63" fillId="0" borderId="0" xfId="0" applyFont="1" applyAlignment="1">
      <alignment horizontal="center"/>
    </xf>
    <xf numFmtId="3" fontId="64" fillId="0" borderId="0" xfId="0" applyNumberFormat="1" applyFont="1"/>
    <xf numFmtId="3" fontId="62" fillId="0" borderId="0" xfId="0" applyNumberFormat="1" applyFont="1" applyBorder="1" applyAlignment="1">
      <alignment vertical="center"/>
    </xf>
    <xf numFmtId="3" fontId="0" fillId="0" borderId="0" xfId="0" applyNumberFormat="1" applyBorder="1"/>
    <xf numFmtId="44" fontId="20" fillId="0" borderId="1" xfId="0" applyNumberFormat="1" applyFont="1" applyBorder="1" applyAlignment="1">
      <alignment horizontal="center" vertical="center"/>
    </xf>
    <xf numFmtId="44" fontId="20" fillId="0" borderId="1" xfId="0" applyNumberFormat="1" applyFont="1" applyBorder="1" applyAlignment="1">
      <alignment horizontal="center" vertical="center" wrapText="1"/>
    </xf>
    <xf numFmtId="44" fontId="20" fillId="0" borderId="2" xfId="0" applyNumberFormat="1" applyFont="1" applyBorder="1" applyAlignment="1">
      <alignment horizontal="center" vertical="center" wrapText="1"/>
    </xf>
    <xf numFmtId="44" fontId="20" fillId="0" borderId="2" xfId="0" applyNumberFormat="1" applyFont="1" applyBorder="1" applyAlignment="1">
      <alignment horizontal="center" vertical="center"/>
    </xf>
    <xf numFmtId="44" fontId="65" fillId="0" borderId="1" xfId="0" applyNumberFormat="1" applyFont="1" applyBorder="1" applyAlignment="1">
      <alignment horizontal="center" vertical="center"/>
    </xf>
    <xf numFmtId="176" fontId="65" fillId="0" borderId="1" xfId="0" applyNumberFormat="1" applyFont="1" applyBorder="1" applyAlignment="1">
      <alignment horizontal="center" vertical="center" wrapText="1"/>
    </xf>
    <xf numFmtId="176" fontId="65" fillId="0" borderId="2" xfId="0" applyNumberFormat="1" applyFont="1" applyBorder="1" applyAlignment="1">
      <alignment horizontal="center" vertical="center" wrapText="1"/>
    </xf>
    <xf numFmtId="176" fontId="65" fillId="0" borderId="2" xfId="0" applyNumberFormat="1" applyFont="1" applyBorder="1" applyAlignment="1">
      <alignment horizontal="center" vertical="center"/>
    </xf>
    <xf numFmtId="3" fontId="63" fillId="0" borderId="0" xfId="0" applyNumberFormat="1" applyFont="1" applyAlignment="1">
      <alignment horizontal="center"/>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62" fillId="0" borderId="1" xfId="0" applyFont="1" applyBorder="1" applyAlignment="1">
      <alignment horizontal="center" vertical="center" wrapText="1"/>
    </xf>
    <xf numFmtId="0" fontId="62" fillId="0" borderId="1" xfId="0" applyFont="1" applyBorder="1" applyAlignment="1">
      <alignment vertical="center" wrapText="1"/>
    </xf>
    <xf numFmtId="0" fontId="16" fillId="0" borderId="1" xfId="0" applyFont="1" applyFill="1" applyBorder="1" applyAlignment="1">
      <alignment vertical="center"/>
    </xf>
    <xf numFmtId="0" fontId="59" fillId="0" borderId="1" xfId="0" applyFont="1" applyBorder="1" applyAlignment="1">
      <alignment horizontal="center" vertical="center" wrapText="1"/>
    </xf>
    <xf numFmtId="0" fontId="14" fillId="0" borderId="1" xfId="0" applyFont="1" applyBorder="1" applyAlignment="1">
      <alignment vertical="center" wrapText="1"/>
    </xf>
    <xf numFmtId="176" fontId="45" fillId="0" borderId="1" xfId="0" applyNumberFormat="1" applyFont="1" applyBorder="1" applyAlignment="1">
      <alignment horizontal="right" vertical="center" wrapText="1"/>
    </xf>
    <xf numFmtId="164" fontId="1" fillId="0" borderId="0" xfId="1" applyFont="1" applyAlignment="1">
      <alignment wrapText="1"/>
    </xf>
    <xf numFmtId="3" fontId="36" fillId="0" borderId="1" xfId="0" applyNumberFormat="1" applyFont="1" applyBorder="1" applyAlignment="1">
      <alignment horizontal="center" vertical="center" wrapText="1"/>
    </xf>
    <xf numFmtId="164" fontId="13" fillId="0" borderId="3" xfId="1" applyFont="1" applyBorder="1" applyAlignment="1">
      <alignment horizontal="center"/>
    </xf>
    <xf numFmtId="0" fontId="15" fillId="0" borderId="1" xfId="0" applyFont="1" applyBorder="1" applyAlignment="1">
      <alignment horizontal="center" vertical="center" wrapText="1"/>
    </xf>
    <xf numFmtId="165" fontId="15" fillId="0" borderId="1" xfId="1" quotePrefix="1" applyNumberFormat="1" applyFont="1" applyBorder="1" applyAlignment="1">
      <alignment horizontal="center" vertical="center" wrapText="1"/>
    </xf>
    <xf numFmtId="165" fontId="15" fillId="0" borderId="1" xfId="1" applyNumberFormat="1" applyFont="1" applyBorder="1" applyAlignment="1">
      <alignment horizontal="center" vertical="center" wrapText="1"/>
    </xf>
    <xf numFmtId="0" fontId="1"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5" fillId="0" borderId="1" xfId="0" applyFont="1" applyBorder="1" applyAlignment="1">
      <alignment horizontal="center" vertical="center" wrapText="1"/>
    </xf>
    <xf numFmtId="178" fontId="25" fillId="0" borderId="1" xfId="1" applyNumberFormat="1" applyFont="1" applyBorder="1" applyAlignment="1">
      <alignment horizontal="right" vertical="center" wrapText="1"/>
    </xf>
    <xf numFmtId="164" fontId="25" fillId="0" borderId="1" xfId="0" applyNumberFormat="1" applyFont="1" applyBorder="1" applyAlignment="1">
      <alignment vertical="center"/>
    </xf>
    <xf numFmtId="178" fontId="25" fillId="0" borderId="1" xfId="1" applyNumberFormat="1" applyFont="1" applyBorder="1" applyAlignment="1">
      <alignment vertical="center" wrapText="1"/>
    </xf>
    <xf numFmtId="171" fontId="25" fillId="0" borderId="1" xfId="1" applyNumberFormat="1" applyFont="1" applyBorder="1" applyAlignment="1">
      <alignment vertical="center" wrapText="1"/>
    </xf>
    <xf numFmtId="174" fontId="25" fillId="0" borderId="1" xfId="1" applyNumberFormat="1" applyFont="1" applyBorder="1" applyAlignment="1">
      <alignment vertical="center" wrapText="1"/>
    </xf>
    <xf numFmtId="171" fontId="21" fillId="0" borderId="1" xfId="1" applyNumberFormat="1" applyFont="1" applyBorder="1" applyAlignment="1">
      <alignment vertical="center" wrapText="1"/>
    </xf>
    <xf numFmtId="0" fontId="20" fillId="0" borderId="1" xfId="0" applyFont="1" applyBorder="1" applyAlignment="1">
      <alignment horizontal="left" vertical="center"/>
    </xf>
    <xf numFmtId="0" fontId="25" fillId="0" borderId="1" xfId="0" applyFont="1" applyBorder="1" applyAlignment="1">
      <alignment horizontal="center" vertical="center"/>
    </xf>
    <xf numFmtId="2" fontId="1" fillId="0" borderId="0" xfId="0" applyNumberFormat="1" applyFont="1"/>
    <xf numFmtId="167" fontId="1" fillId="0" borderId="0" xfId="1" applyNumberFormat="1" applyFont="1"/>
    <xf numFmtId="49" fontId="20" fillId="0" borderId="1" xfId="0" applyNumberFormat="1" applyFont="1" applyBorder="1" applyAlignment="1">
      <alignment vertical="center" wrapText="1"/>
    </xf>
    <xf numFmtId="0" fontId="9" fillId="0" borderId="4" xfId="0" applyFont="1" applyFill="1" applyBorder="1" applyAlignment="1">
      <alignment vertical="center"/>
    </xf>
    <xf numFmtId="0" fontId="62" fillId="0" borderId="1" xfId="0" applyFont="1" applyBorder="1" applyAlignment="1">
      <alignment horizontal="center" vertical="center"/>
    </xf>
    <xf numFmtId="0" fontId="62" fillId="0" borderId="5" xfId="0" applyFont="1" applyBorder="1" applyAlignment="1">
      <alignment vertical="center" wrapText="1"/>
    </xf>
    <xf numFmtId="0" fontId="62" fillId="2" borderId="1" xfId="0" applyFont="1" applyFill="1" applyBorder="1" applyAlignment="1">
      <alignment vertical="center"/>
    </xf>
    <xf numFmtId="0" fontId="62" fillId="0" borderId="6" xfId="0" applyFont="1" applyBorder="1" applyAlignment="1">
      <alignment vertical="center" wrapText="1"/>
    </xf>
    <xf numFmtId="0" fontId="62" fillId="0" borderId="7" xfId="0" applyFont="1" applyBorder="1" applyAlignment="1">
      <alignment vertical="center" wrapText="1"/>
    </xf>
    <xf numFmtId="0" fontId="62" fillId="0" borderId="0" xfId="0" applyFont="1" applyAlignment="1">
      <alignment vertical="center"/>
    </xf>
    <xf numFmtId="0" fontId="21" fillId="2" borderId="2" xfId="0" applyFont="1" applyFill="1" applyBorder="1" applyAlignment="1">
      <alignment horizontal="center" vertical="center" wrapText="1"/>
    </xf>
    <xf numFmtId="0" fontId="9" fillId="2" borderId="2" xfId="0" applyNumberFormat="1" applyFont="1" applyFill="1" applyBorder="1" applyAlignment="1">
      <alignment vertical="center"/>
    </xf>
    <xf numFmtId="0" fontId="21" fillId="2" borderId="1" xfId="0" applyFont="1" applyFill="1" applyBorder="1" applyAlignment="1">
      <alignment horizontal="center" vertical="center" wrapText="1"/>
    </xf>
    <xf numFmtId="0" fontId="9" fillId="2" borderId="8" xfId="0" applyFont="1" applyFill="1" applyBorder="1" applyAlignment="1">
      <alignment vertical="center"/>
    </xf>
    <xf numFmtId="0" fontId="9" fillId="2" borderId="2" xfId="0" applyFont="1" applyFill="1" applyBorder="1" applyAlignment="1">
      <alignment vertical="center"/>
    </xf>
    <xf numFmtId="0" fontId="20" fillId="2" borderId="1" xfId="0" applyNumberFormat="1" applyFont="1" applyFill="1" applyBorder="1" applyAlignment="1">
      <alignment vertical="center"/>
    </xf>
    <xf numFmtId="0" fontId="20" fillId="2" borderId="1" xfId="0" applyNumberFormat="1" applyFont="1" applyFill="1" applyBorder="1" applyAlignment="1">
      <alignment horizontal="left" vertical="center"/>
    </xf>
    <xf numFmtId="0" fontId="9" fillId="0" borderId="1" xfId="0" applyFont="1" applyFill="1" applyBorder="1" applyAlignment="1">
      <alignment horizontal="center" vertical="center" shrinkToFit="1"/>
    </xf>
    <xf numFmtId="0" fontId="9" fillId="0" borderId="1" xfId="0" applyFont="1" applyFill="1" applyBorder="1" applyAlignment="1">
      <alignment horizontal="left" vertical="center" shrinkToFit="1"/>
    </xf>
    <xf numFmtId="0" fontId="46" fillId="0" borderId="1" xfId="0" applyFont="1" applyFill="1" applyBorder="1" applyAlignment="1">
      <alignment horizontal="right" vertical="center" shrinkToFit="1"/>
    </xf>
    <xf numFmtId="165" fontId="2" fillId="0" borderId="1" xfId="1" applyNumberFormat="1" applyFont="1" applyBorder="1" applyAlignment="1">
      <alignment horizontal="right" vertical="center" wrapText="1"/>
    </xf>
    <xf numFmtId="164" fontId="46" fillId="0" borderId="1" xfId="0" applyNumberFormat="1" applyFont="1" applyFill="1" applyBorder="1" applyAlignment="1">
      <alignment horizontal="center" vertical="center" shrinkToFit="1"/>
    </xf>
    <xf numFmtId="43" fontId="1" fillId="0" borderId="0" xfId="0" applyNumberFormat="1" applyFont="1"/>
    <xf numFmtId="179" fontId="25" fillId="0" borderId="1" xfId="1" applyNumberFormat="1" applyFont="1" applyBorder="1" applyAlignment="1">
      <alignment vertical="center" wrapText="1"/>
    </xf>
    <xf numFmtId="41" fontId="25" fillId="0" borderId="1" xfId="1" applyNumberFormat="1" applyFont="1" applyBorder="1" applyAlignment="1">
      <alignment vertical="center" wrapText="1"/>
    </xf>
    <xf numFmtId="41" fontId="21" fillId="0" borderId="1" xfId="1" applyNumberFormat="1" applyFont="1" applyBorder="1" applyAlignment="1">
      <alignment vertical="center" wrapText="1"/>
    </xf>
    <xf numFmtId="179" fontId="21" fillId="0" borderId="1" xfId="1" applyNumberFormat="1" applyFont="1" applyBorder="1" applyAlignment="1">
      <alignment vertical="center" wrapText="1"/>
    </xf>
    <xf numFmtId="41" fontId="1" fillId="0" borderId="1" xfId="1" applyNumberFormat="1" applyFont="1" applyBorder="1" applyAlignment="1">
      <alignment vertical="center" wrapText="1"/>
    </xf>
    <xf numFmtId="41" fontId="1" fillId="0" borderId="1" xfId="0" applyNumberFormat="1" applyFont="1" applyBorder="1" applyAlignment="1">
      <alignment vertical="center"/>
    </xf>
    <xf numFmtId="41" fontId="21" fillId="0" borderId="1" xfId="0" applyNumberFormat="1" applyFont="1" applyBorder="1" applyAlignment="1">
      <alignment vertical="center"/>
    </xf>
    <xf numFmtId="0" fontId="21" fillId="0" borderId="0" xfId="0" applyFont="1" applyAlignment="1">
      <alignment vertical="center"/>
    </xf>
    <xf numFmtId="41" fontId="1" fillId="0" borderId="1" xfId="1" applyNumberFormat="1" applyFont="1" applyFill="1" applyBorder="1" applyAlignment="1">
      <alignment vertical="center" wrapText="1"/>
    </xf>
    <xf numFmtId="41" fontId="1" fillId="0" borderId="1" xfId="1" applyNumberFormat="1" applyFont="1" applyFill="1" applyBorder="1" applyAlignment="1">
      <alignment vertical="center"/>
    </xf>
    <xf numFmtId="179" fontId="21" fillId="0" borderId="1" xfId="1" applyNumberFormat="1" applyFont="1" applyFill="1" applyBorder="1" applyAlignment="1">
      <alignment vertical="center" wrapText="1"/>
    </xf>
    <xf numFmtId="41" fontId="3" fillId="0" borderId="1" xfId="1" applyNumberFormat="1" applyFont="1" applyFill="1" applyBorder="1" applyAlignment="1">
      <alignment vertical="center" wrapText="1"/>
    </xf>
    <xf numFmtId="179" fontId="3" fillId="0" borderId="1" xfId="1" applyNumberFormat="1" applyFont="1" applyFill="1" applyBorder="1" applyAlignment="1">
      <alignment vertical="center" wrapText="1"/>
    </xf>
    <xf numFmtId="179" fontId="25" fillId="0" borderId="1" xfId="1" applyNumberFormat="1" applyFont="1" applyFill="1" applyBorder="1" applyAlignment="1">
      <alignment vertical="center" wrapText="1"/>
    </xf>
    <xf numFmtId="41" fontId="25" fillId="0" borderId="1" xfId="1" applyNumberFormat="1" applyFont="1" applyFill="1" applyBorder="1" applyAlignment="1">
      <alignment vertical="center" wrapText="1"/>
    </xf>
    <xf numFmtId="41" fontId="21" fillId="0" borderId="1" xfId="1" applyNumberFormat="1" applyFont="1" applyFill="1" applyBorder="1" applyAlignment="1">
      <alignment vertical="center" wrapText="1"/>
    </xf>
    <xf numFmtId="164" fontId="20" fillId="0" borderId="1" xfId="1" applyFont="1" applyFill="1" applyBorder="1" applyAlignment="1">
      <alignment vertical="center" wrapText="1"/>
    </xf>
    <xf numFmtId="41" fontId="25" fillId="0" borderId="1" xfId="1" applyNumberFormat="1" applyFont="1" applyFill="1" applyBorder="1" applyAlignment="1" applyProtection="1">
      <alignment horizontal="right" vertical="center"/>
    </xf>
    <xf numFmtId="41" fontId="25" fillId="0" borderId="1" xfId="1" applyNumberFormat="1" applyFont="1" applyFill="1" applyBorder="1" applyAlignment="1">
      <alignment horizontal="right" vertical="center" wrapText="1"/>
    </xf>
    <xf numFmtId="41" fontId="3" fillId="0" borderId="1" xfId="1" applyNumberFormat="1" applyFont="1" applyFill="1" applyBorder="1" applyAlignment="1">
      <alignment horizontal="center" vertical="center" wrapText="1"/>
    </xf>
    <xf numFmtId="179" fontId="3" fillId="0" borderId="1" xfId="1" applyNumberFormat="1" applyFont="1" applyFill="1" applyBorder="1" applyAlignment="1">
      <alignment horizontal="center" vertical="center" wrapText="1"/>
    </xf>
    <xf numFmtId="41" fontId="1" fillId="0" borderId="1" xfId="1" applyNumberFormat="1" applyFont="1" applyFill="1" applyBorder="1" applyAlignment="1">
      <alignment horizontal="center" vertical="center" wrapText="1"/>
    </xf>
    <xf numFmtId="2" fontId="20" fillId="0" borderId="1" xfId="0" applyNumberFormat="1" applyFont="1" applyFill="1" applyBorder="1" applyAlignment="1">
      <alignment vertical="center" wrapText="1"/>
    </xf>
    <xf numFmtId="41" fontId="27" fillId="0" borderId="1" xfId="1" applyNumberFormat="1" applyFont="1" applyFill="1" applyBorder="1" applyAlignment="1">
      <alignment horizontal="center" vertical="center" wrapText="1"/>
    </xf>
    <xf numFmtId="41" fontId="3" fillId="0" borderId="1" xfId="0" applyNumberFormat="1" applyFont="1" applyBorder="1" applyAlignment="1">
      <alignment vertical="center"/>
    </xf>
    <xf numFmtId="2" fontId="9" fillId="0" borderId="1" xfId="0" applyNumberFormat="1" applyFont="1" applyFill="1" applyBorder="1" applyAlignment="1">
      <alignment vertical="center" wrapText="1"/>
    </xf>
    <xf numFmtId="1" fontId="5" fillId="0" borderId="1" xfId="0" applyNumberFormat="1" applyFont="1" applyFill="1" applyBorder="1" applyAlignment="1">
      <alignment horizontal="center" vertical="center" wrapText="1"/>
    </xf>
    <xf numFmtId="2" fontId="33" fillId="0" borderId="1" xfId="0" applyNumberFormat="1" applyFont="1" applyFill="1" applyBorder="1" applyAlignment="1">
      <alignment vertical="center" wrapText="1"/>
    </xf>
    <xf numFmtId="2" fontId="34" fillId="0" borderId="1" xfId="0" applyNumberFormat="1" applyFont="1" applyFill="1" applyBorder="1" applyAlignment="1">
      <alignment vertical="center" wrapText="1"/>
    </xf>
    <xf numFmtId="41" fontId="27" fillId="0" borderId="1" xfId="0" applyNumberFormat="1" applyFont="1" applyFill="1" applyBorder="1" applyAlignment="1">
      <alignment horizontal="center" vertical="center"/>
    </xf>
    <xf numFmtId="179" fontId="27" fillId="0" borderId="1" xfId="0" applyNumberFormat="1" applyFont="1" applyFill="1" applyBorder="1" applyAlignment="1">
      <alignment horizontal="center" vertical="center"/>
    </xf>
    <xf numFmtId="179" fontId="27" fillId="0" borderId="1" xfId="0" applyNumberFormat="1" applyFont="1" applyFill="1" applyBorder="1" applyAlignment="1">
      <alignment horizontal="right" vertical="center"/>
    </xf>
    <xf numFmtId="41" fontId="27" fillId="0" borderId="1" xfId="0" applyNumberFormat="1" applyFont="1" applyFill="1" applyBorder="1" applyAlignment="1">
      <alignment horizontal="right" vertical="center"/>
    </xf>
    <xf numFmtId="0" fontId="23" fillId="0" borderId="1" xfId="0" applyFont="1" applyFill="1" applyBorder="1" applyAlignment="1">
      <alignment horizontal="left" vertical="center"/>
    </xf>
    <xf numFmtId="41" fontId="32" fillId="0" borderId="1" xfId="0" applyNumberFormat="1" applyFont="1" applyFill="1" applyBorder="1" applyAlignment="1">
      <alignment horizontal="left" vertical="center"/>
    </xf>
    <xf numFmtId="41" fontId="32" fillId="0" borderId="1" xfId="0" quotePrefix="1" applyNumberFormat="1" applyFont="1" applyFill="1" applyBorder="1" applyAlignment="1">
      <alignment horizontal="left" vertical="center"/>
    </xf>
    <xf numFmtId="0" fontId="47" fillId="0" borderId="1" xfId="0" applyFont="1" applyFill="1" applyBorder="1" applyAlignment="1">
      <alignment horizontal="left" vertical="center"/>
    </xf>
    <xf numFmtId="41" fontId="3" fillId="0" borderId="1" xfId="0" applyNumberFormat="1" applyFont="1" applyFill="1" applyBorder="1" applyAlignment="1">
      <alignment horizontal="left" vertical="center"/>
    </xf>
    <xf numFmtId="0" fontId="47" fillId="0" borderId="1" xfId="0" applyFont="1" applyFill="1" applyBorder="1" applyAlignment="1">
      <alignment horizontal="left" vertical="center" wrapText="1"/>
    </xf>
    <xf numFmtId="41" fontId="27" fillId="0" borderId="1" xfId="0" applyNumberFormat="1" applyFont="1" applyFill="1" applyBorder="1" applyAlignment="1">
      <alignment horizontal="left" vertical="center" wrapText="1"/>
    </xf>
    <xf numFmtId="179" fontId="3" fillId="0" borderId="1" xfId="0" applyNumberFormat="1" applyFont="1" applyFill="1" applyBorder="1" applyAlignment="1">
      <alignment horizontal="right" vertical="center" wrapText="1"/>
    </xf>
    <xf numFmtId="41" fontId="3" fillId="0" borderId="1" xfId="0" applyNumberFormat="1" applyFont="1" applyFill="1" applyBorder="1" applyAlignment="1">
      <alignment horizontal="center" vertical="center" wrapText="1"/>
    </xf>
    <xf numFmtId="0" fontId="23" fillId="0" borderId="1" xfId="0" applyFont="1" applyFill="1" applyBorder="1" applyAlignment="1">
      <alignment horizontal="left" vertical="center" wrapText="1"/>
    </xf>
    <xf numFmtId="41" fontId="32" fillId="0" borderId="1" xfId="0" applyNumberFormat="1" applyFont="1" applyFill="1" applyBorder="1" applyAlignment="1">
      <alignment horizontal="center" vertical="center" wrapText="1"/>
    </xf>
    <xf numFmtId="41" fontId="3" fillId="0" borderId="1" xfId="0" applyNumberFormat="1" applyFont="1" applyFill="1" applyBorder="1" applyAlignment="1">
      <alignment horizontal="center" vertical="center"/>
    </xf>
    <xf numFmtId="41" fontId="32" fillId="0" borderId="1" xfId="0" applyNumberFormat="1" applyFont="1" applyFill="1" applyBorder="1" applyAlignment="1">
      <alignment horizontal="center" vertical="center"/>
    </xf>
    <xf numFmtId="0" fontId="23" fillId="0" borderId="1" xfId="0" applyNumberFormat="1" applyFont="1" applyFill="1" applyBorder="1" applyAlignment="1">
      <alignment horizontal="left" vertical="center" wrapText="1"/>
    </xf>
    <xf numFmtId="0" fontId="23" fillId="0" borderId="1" xfId="0" applyNumberFormat="1" applyFont="1" applyFill="1" applyBorder="1" applyAlignment="1">
      <alignment vertical="center" wrapText="1"/>
    </xf>
    <xf numFmtId="179" fontId="25" fillId="0" borderId="1" xfId="0" applyNumberFormat="1" applyFont="1" applyFill="1" applyBorder="1" applyAlignment="1">
      <alignment vertical="center"/>
    </xf>
    <xf numFmtId="41" fontId="25" fillId="0" borderId="1" xfId="0" applyNumberFormat="1" applyFont="1" applyFill="1" applyBorder="1" applyAlignment="1">
      <alignment vertical="center"/>
    </xf>
    <xf numFmtId="0" fontId="33" fillId="0" borderId="1" xfId="0" applyFont="1" applyFill="1" applyBorder="1"/>
    <xf numFmtId="0" fontId="20" fillId="0" borderId="1" xfId="0" applyFont="1" applyFill="1" applyBorder="1" applyAlignment="1">
      <alignment horizontal="left" vertical="center" wrapText="1"/>
    </xf>
    <xf numFmtId="0" fontId="33" fillId="0" borderId="1" xfId="0" applyFont="1" applyFill="1" applyBorder="1" applyAlignment="1">
      <alignment vertical="center"/>
    </xf>
    <xf numFmtId="0" fontId="67" fillId="0" borderId="1" xfId="0" applyFont="1" applyFill="1" applyBorder="1" applyAlignment="1">
      <alignment horizontal="left" vertical="center"/>
    </xf>
    <xf numFmtId="41" fontId="27" fillId="0" borderId="1" xfId="0" applyNumberFormat="1" applyFont="1" applyFill="1" applyBorder="1" applyAlignment="1">
      <alignment vertical="center"/>
    </xf>
    <xf numFmtId="0" fontId="47" fillId="0" borderId="1" xfId="0" applyFont="1" applyFill="1" applyBorder="1" applyAlignment="1">
      <alignment vertical="center"/>
    </xf>
    <xf numFmtId="41" fontId="21" fillId="0" borderId="1" xfId="1" applyNumberFormat="1" applyFont="1" applyFill="1" applyBorder="1" applyAlignment="1">
      <alignment horizontal="center" vertical="center" wrapText="1"/>
    </xf>
    <xf numFmtId="179" fontId="3" fillId="0" borderId="1" xfId="1" applyNumberFormat="1" applyFont="1" applyFill="1" applyBorder="1" applyAlignment="1">
      <alignment horizontal="right" vertical="center" wrapText="1"/>
    </xf>
    <xf numFmtId="0" fontId="33" fillId="0" borderId="1" xfId="0" applyFont="1" applyFill="1" applyBorder="1" applyAlignment="1">
      <alignment vertical="center" wrapText="1"/>
    </xf>
    <xf numFmtId="41" fontId="29" fillId="0" borderId="1" xfId="1" applyNumberFormat="1" applyFont="1" applyFill="1" applyBorder="1" applyAlignment="1">
      <alignment vertical="center" wrapText="1"/>
    </xf>
    <xf numFmtId="0" fontId="46" fillId="0" borderId="9" xfId="4" applyFont="1" applyFill="1" applyBorder="1" applyAlignment="1">
      <alignment horizontal="left" vertical="center" wrapText="1"/>
    </xf>
    <xf numFmtId="41" fontId="20" fillId="0" borderId="9" xfId="1" applyNumberFormat="1" applyFont="1" applyFill="1" applyBorder="1" applyAlignment="1">
      <alignment vertical="center" wrapText="1"/>
    </xf>
    <xf numFmtId="41" fontId="20" fillId="0" borderId="1" xfId="1" applyNumberFormat="1" applyFont="1" applyBorder="1" applyAlignment="1">
      <alignment vertical="center" wrapText="1"/>
    </xf>
    <xf numFmtId="41" fontId="9" fillId="0" borderId="1" xfId="1" applyNumberFormat="1" applyFont="1" applyBorder="1" applyAlignment="1">
      <alignment vertical="center" wrapText="1"/>
    </xf>
    <xf numFmtId="41" fontId="33" fillId="0" borderId="1" xfId="1" applyNumberFormat="1" applyFont="1" applyBorder="1" applyAlignment="1">
      <alignment vertical="center" wrapText="1"/>
    </xf>
    <xf numFmtId="179" fontId="9" fillId="0" borderId="1" xfId="1" applyNumberFormat="1" applyFont="1" applyFill="1" applyBorder="1" applyAlignment="1">
      <alignment vertical="center" wrapText="1"/>
    </xf>
    <xf numFmtId="41" fontId="4" fillId="0" borderId="1" xfId="1" applyNumberFormat="1" applyFont="1" applyFill="1" applyBorder="1"/>
    <xf numFmtId="41" fontId="4" fillId="0" borderId="1" xfId="1" applyNumberFormat="1" applyFont="1" applyFill="1" applyBorder="1" applyAlignment="1"/>
    <xf numFmtId="179" fontId="5" fillId="0" borderId="1" xfId="1" applyNumberFormat="1" applyFont="1" applyFill="1" applyBorder="1"/>
    <xf numFmtId="41" fontId="5" fillId="0" borderId="1" xfId="1" applyNumberFormat="1" applyFont="1" applyFill="1" applyBorder="1"/>
    <xf numFmtId="0" fontId="20" fillId="0" borderId="1" xfId="0" applyFont="1" applyBorder="1"/>
    <xf numFmtId="41" fontId="4" fillId="0" borderId="1" xfId="1" applyNumberFormat="1" applyFont="1" applyBorder="1"/>
    <xf numFmtId="41" fontId="4" fillId="0" borderId="1" xfId="1" applyNumberFormat="1" applyFont="1" applyBorder="1" applyAlignment="1"/>
    <xf numFmtId="179" fontId="5" fillId="0" borderId="1" xfId="1" applyNumberFormat="1" applyFont="1" applyBorder="1"/>
    <xf numFmtId="41" fontId="5" fillId="0" borderId="1" xfId="1" applyNumberFormat="1" applyFont="1" applyBorder="1"/>
    <xf numFmtId="41" fontId="38" fillId="0" borderId="1" xfId="0" applyNumberFormat="1" applyFont="1" applyBorder="1" applyAlignment="1">
      <alignment vertical="center"/>
    </xf>
    <xf numFmtId="49" fontId="54" fillId="0" borderId="1" xfId="3" applyNumberFormat="1" applyFont="1" applyBorder="1" applyAlignment="1">
      <alignment horizontal="center" vertical="center"/>
    </xf>
    <xf numFmtId="49" fontId="54" fillId="0" borderId="1" xfId="3" applyNumberFormat="1" applyFont="1" applyBorder="1" applyAlignment="1">
      <alignment horizontal="center" vertical="center" wrapText="1"/>
    </xf>
    <xf numFmtId="49" fontId="54" fillId="0" borderId="4" xfId="3" applyNumberFormat="1" applyFont="1" applyBorder="1" applyAlignment="1">
      <alignment horizontal="center" vertical="center" wrapText="1"/>
    </xf>
    <xf numFmtId="0" fontId="55" fillId="0" borderId="1" xfId="3" applyFont="1" applyBorder="1" applyAlignment="1">
      <alignment vertical="center"/>
    </xf>
    <xf numFmtId="0" fontId="47" fillId="0" borderId="1" xfId="3" applyNumberFormat="1" applyFont="1" applyBorder="1" applyAlignment="1">
      <alignment horizontal="center" vertical="center"/>
    </xf>
    <xf numFmtId="41" fontId="47" fillId="0" borderId="1" xfId="3" applyNumberFormat="1" applyFont="1" applyBorder="1" applyAlignment="1">
      <alignment horizontal="center" vertical="center"/>
    </xf>
    <xf numFmtId="176" fontId="47" fillId="0" borderId="1" xfId="3" applyNumberFormat="1" applyFont="1" applyBorder="1" applyAlignment="1">
      <alignment horizontal="right" vertical="center"/>
    </xf>
    <xf numFmtId="41" fontId="4" fillId="0" borderId="1" xfId="0" applyNumberFormat="1" applyFont="1" applyBorder="1" applyAlignment="1">
      <alignment horizontal="center" vertical="center"/>
    </xf>
    <xf numFmtId="176" fontId="4" fillId="0" borderId="1" xfId="0" applyNumberFormat="1" applyFont="1" applyBorder="1" applyAlignment="1">
      <alignment vertical="center"/>
    </xf>
    <xf numFmtId="176" fontId="4" fillId="0" borderId="1" xfId="0" applyNumberFormat="1" applyFont="1" applyBorder="1" applyAlignment="1">
      <alignment horizontal="right" vertical="center"/>
    </xf>
    <xf numFmtId="176" fontId="55" fillId="0" borderId="1" xfId="3" quotePrefix="1" applyNumberFormat="1" applyFont="1" applyBorder="1" applyAlignment="1">
      <alignment horizontal="right" vertical="center"/>
    </xf>
    <xf numFmtId="3" fontId="55" fillId="0" borderId="1" xfId="3" applyNumberFormat="1" applyFont="1" applyBorder="1" applyAlignment="1">
      <alignment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5" fillId="0" borderId="1" xfId="0" applyFont="1" applyBorder="1" applyAlignment="1">
      <alignment vertical="center"/>
    </xf>
    <xf numFmtId="41" fontId="4" fillId="0" borderId="1" xfId="0" applyNumberFormat="1" applyFont="1" applyBorder="1" applyAlignment="1">
      <alignment vertical="center"/>
    </xf>
    <xf numFmtId="176" fontId="5" fillId="0" borderId="1" xfId="0" applyNumberFormat="1" applyFont="1" applyBorder="1" applyAlignment="1">
      <alignment horizontal="right" vertical="center"/>
    </xf>
    <xf numFmtId="41" fontId="9" fillId="0" borderId="1" xfId="0" applyNumberFormat="1" applyFont="1" applyFill="1" applyBorder="1" applyAlignment="1">
      <alignment vertical="center"/>
    </xf>
    <xf numFmtId="3" fontId="4" fillId="0" borderId="5" xfId="0" applyNumberFormat="1" applyFont="1" applyBorder="1" applyAlignment="1">
      <alignment horizontal="center" vertical="center" wrapText="1"/>
    </xf>
    <xf numFmtId="0" fontId="68" fillId="0" borderId="0" xfId="0" applyFont="1" applyFill="1" applyAlignment="1">
      <alignment vertical="center"/>
    </xf>
    <xf numFmtId="0" fontId="68" fillId="0" borderId="0" xfId="0" applyFont="1" applyFill="1" applyAlignment="1">
      <alignment horizontal="center" vertical="center"/>
    </xf>
    <xf numFmtId="0" fontId="69" fillId="0" borderId="0" xfId="0" applyFont="1" applyFill="1" applyAlignment="1">
      <alignment horizontal="center" vertical="center"/>
    </xf>
    <xf numFmtId="0" fontId="70" fillId="0" borderId="0" xfId="0" applyFont="1" applyFill="1" applyAlignment="1">
      <alignment horizontal="right" vertical="center"/>
    </xf>
    <xf numFmtId="0" fontId="71" fillId="0" borderId="0" xfId="0" applyFont="1" applyFill="1" applyAlignment="1">
      <alignment vertical="center"/>
    </xf>
    <xf numFmtId="41" fontId="20" fillId="0" borderId="1" xfId="0" applyNumberFormat="1" applyFont="1" applyFill="1" applyBorder="1" applyAlignment="1">
      <alignment vertical="center"/>
    </xf>
    <xf numFmtId="41" fontId="9" fillId="0" borderId="1" xfId="0" applyNumberFormat="1" applyFont="1" applyFill="1" applyBorder="1" applyAlignment="1">
      <alignment horizontal="right" vertical="center"/>
    </xf>
    <xf numFmtId="41" fontId="4" fillId="0" borderId="5" xfId="0" applyNumberFormat="1" applyFont="1" applyBorder="1" applyAlignment="1">
      <alignment vertical="center" wrapText="1"/>
    </xf>
    <xf numFmtId="0" fontId="36" fillId="0" borderId="1" xfId="0" applyFont="1" applyFill="1" applyBorder="1" applyAlignment="1">
      <alignment horizontal="center" vertical="center"/>
    </xf>
    <xf numFmtId="0" fontId="74" fillId="0" borderId="0" xfId="0" applyFont="1" applyFill="1" applyAlignment="1">
      <alignment vertical="center"/>
    </xf>
    <xf numFmtId="0" fontId="74" fillId="0" borderId="1" xfId="0" applyFont="1" applyFill="1" applyBorder="1" applyAlignment="1">
      <alignment horizontal="center" vertical="center"/>
    </xf>
    <xf numFmtId="0" fontId="20" fillId="0" borderId="1" xfId="0" applyNumberFormat="1" applyFont="1" applyFill="1" applyBorder="1" applyAlignment="1">
      <alignment horizontal="center" vertical="center"/>
    </xf>
    <xf numFmtId="0" fontId="20" fillId="0" borderId="1" xfId="0" applyNumberFormat="1" applyFont="1" applyFill="1" applyBorder="1" applyAlignment="1">
      <alignment horizontal="left" vertical="center"/>
    </xf>
    <xf numFmtId="41" fontId="74" fillId="0" borderId="1" xfId="0" applyNumberFormat="1" applyFont="1" applyFill="1" applyBorder="1" applyAlignment="1">
      <alignment vertical="center"/>
    </xf>
    <xf numFmtId="0" fontId="75" fillId="0" borderId="1" xfId="0" applyFont="1" applyFill="1" applyBorder="1" applyAlignment="1">
      <alignment horizontal="center" vertical="center"/>
    </xf>
    <xf numFmtId="49" fontId="9" fillId="0" borderId="1" xfId="0" applyNumberFormat="1" applyFont="1" applyFill="1" applyBorder="1" applyAlignment="1">
      <alignment horizontal="left" vertical="center"/>
    </xf>
    <xf numFmtId="0" fontId="9" fillId="0" borderId="1" xfId="0" applyFont="1" applyFill="1" applyBorder="1" applyAlignment="1">
      <alignment horizontal="center" vertical="center"/>
    </xf>
    <xf numFmtId="49" fontId="9" fillId="0" borderId="1" xfId="0" applyNumberFormat="1" applyFont="1" applyFill="1" applyBorder="1" applyAlignment="1">
      <alignment vertical="center"/>
    </xf>
    <xf numFmtId="0" fontId="9" fillId="0" borderId="1" xfId="0" applyNumberFormat="1" applyFont="1" applyFill="1" applyBorder="1" applyAlignment="1">
      <alignment vertical="center"/>
    </xf>
    <xf numFmtId="0" fontId="20" fillId="0" borderId="1" xfId="0" applyNumberFormat="1" applyFont="1" applyFill="1" applyBorder="1" applyAlignment="1">
      <alignment vertical="center"/>
    </xf>
    <xf numFmtId="0" fontId="9" fillId="0" borderId="1" xfId="0" applyNumberFormat="1" applyFont="1" applyFill="1" applyBorder="1" applyAlignment="1">
      <alignment horizontal="center" vertical="center"/>
    </xf>
    <xf numFmtId="41" fontId="20" fillId="0" borderId="1" xfId="0" applyNumberFormat="1" applyFont="1" applyFill="1" applyBorder="1" applyAlignment="1">
      <alignment horizontal="right" vertical="center"/>
    </xf>
    <xf numFmtId="41" fontId="9" fillId="0" borderId="1" xfId="0" applyNumberFormat="1" applyFont="1" applyFill="1" applyBorder="1" applyAlignment="1">
      <alignment horizontal="center" vertical="center"/>
    </xf>
    <xf numFmtId="41" fontId="9" fillId="0" borderId="1" xfId="0" applyNumberFormat="1" applyFont="1" applyBorder="1" applyAlignment="1">
      <alignment vertical="center"/>
    </xf>
    <xf numFmtId="41" fontId="9" fillId="0" borderId="1" xfId="0" applyNumberFormat="1" applyFont="1" applyBorder="1" applyAlignment="1">
      <alignment horizontal="center" vertical="center"/>
    </xf>
    <xf numFmtId="0" fontId="74" fillId="0" borderId="0" xfId="0" applyFont="1" applyFill="1" applyAlignment="1">
      <alignment horizontal="center" vertical="center"/>
    </xf>
    <xf numFmtId="0" fontId="76" fillId="0" borderId="0" xfId="0" applyFont="1" applyFill="1" applyAlignment="1">
      <alignment horizontal="center" vertical="center"/>
    </xf>
    <xf numFmtId="0" fontId="77" fillId="0" borderId="0" xfId="0" applyFont="1" applyFill="1" applyAlignment="1">
      <alignment horizontal="center" vertical="center"/>
    </xf>
    <xf numFmtId="0" fontId="78" fillId="0" borderId="0" xfId="0" applyFont="1" applyFill="1" applyAlignment="1">
      <alignment horizontal="center" vertical="center" wrapText="1"/>
    </xf>
    <xf numFmtId="3" fontId="0" fillId="0" borderId="0" xfId="0" applyNumberFormat="1"/>
    <xf numFmtId="164" fontId="16" fillId="0" borderId="0" xfId="1" applyFont="1" applyAlignment="1">
      <alignment wrapText="1"/>
    </xf>
    <xf numFmtId="165" fontId="74" fillId="0" borderId="0" xfId="1" applyNumberFormat="1" applyFont="1" applyFill="1" applyAlignment="1">
      <alignment vertical="center"/>
    </xf>
    <xf numFmtId="0" fontId="9" fillId="0" borderId="0" xfId="0" applyFont="1" applyFill="1" applyAlignment="1">
      <alignment vertical="center"/>
    </xf>
    <xf numFmtId="41" fontId="74" fillId="0" borderId="0" xfId="0" applyNumberFormat="1" applyFont="1" applyFill="1" applyAlignment="1">
      <alignment vertical="center"/>
    </xf>
    <xf numFmtId="0" fontId="72" fillId="0" borderId="0" xfId="0" applyFont="1" applyBorder="1" applyAlignment="1">
      <alignment vertical="center"/>
    </xf>
    <xf numFmtId="164" fontId="5" fillId="0" borderId="0" xfId="1" applyNumberFormat="1" applyFont="1" applyAlignment="1">
      <alignment vertical="center" wrapText="1"/>
    </xf>
    <xf numFmtId="164" fontId="4" fillId="0" borderId="0" xfId="1" applyNumberFormat="1" applyFont="1"/>
    <xf numFmtId="164" fontId="15" fillId="0" borderId="1" xfId="1" quotePrefix="1" applyNumberFormat="1" applyFont="1" applyBorder="1" applyAlignment="1">
      <alignment horizontal="center" vertical="center" wrapText="1"/>
    </xf>
    <xf numFmtId="164" fontId="15" fillId="0" borderId="1" xfId="0" applyNumberFormat="1" applyFont="1" applyBorder="1" applyAlignment="1">
      <alignment horizontal="center" vertical="center" wrapText="1"/>
    </xf>
    <xf numFmtId="164" fontId="21" fillId="0" borderId="1" xfId="1" applyNumberFormat="1" applyFont="1" applyBorder="1" applyAlignment="1">
      <alignment vertical="center" wrapText="1"/>
    </xf>
    <xf numFmtId="164" fontId="28" fillId="0" borderId="1" xfId="1" applyNumberFormat="1" applyFont="1" applyBorder="1"/>
    <xf numFmtId="164" fontId="21" fillId="0" borderId="1" xfId="1" applyNumberFormat="1" applyFont="1" applyBorder="1"/>
    <xf numFmtId="164" fontId="1" fillId="0" borderId="1" xfId="1" applyNumberFormat="1" applyFont="1" applyBorder="1" applyAlignment="1">
      <alignment horizontal="right" vertical="center" wrapText="1"/>
    </xf>
    <xf numFmtId="164" fontId="9" fillId="0" borderId="1" xfId="0" applyNumberFormat="1" applyFont="1" applyBorder="1"/>
    <xf numFmtId="164" fontId="21" fillId="0" borderId="1" xfId="0" applyNumberFormat="1" applyFont="1" applyBorder="1" applyAlignment="1">
      <alignment vertical="center"/>
    </xf>
    <xf numFmtId="164" fontId="21" fillId="0" borderId="1" xfId="0" applyNumberFormat="1" applyFont="1" applyBorder="1"/>
    <xf numFmtId="164" fontId="21" fillId="0" borderId="1" xfId="0" quotePrefix="1" applyNumberFormat="1" applyFont="1" applyBorder="1" applyAlignment="1">
      <alignment vertical="center"/>
    </xf>
    <xf numFmtId="164" fontId="21" fillId="0" borderId="1" xfId="0" applyNumberFormat="1" applyFont="1" applyBorder="1" applyAlignment="1">
      <alignment vertical="center" wrapText="1"/>
    </xf>
    <xf numFmtId="164" fontId="21" fillId="0" borderId="1" xfId="0" applyNumberFormat="1" applyFont="1" applyBorder="1" applyAlignment="1">
      <alignment horizontal="right" vertical="center" wrapText="1"/>
    </xf>
    <xf numFmtId="164" fontId="21" fillId="2" borderId="1" xfId="0" applyNumberFormat="1" applyFont="1" applyFill="1" applyBorder="1" applyAlignment="1">
      <alignment horizontal="right" vertical="center" wrapText="1"/>
    </xf>
    <xf numFmtId="164" fontId="21" fillId="2" borderId="1" xfId="1" applyNumberFormat="1" applyFont="1" applyFill="1" applyBorder="1" applyAlignment="1">
      <alignment horizontal="right" vertical="center"/>
    </xf>
    <xf numFmtId="164" fontId="21" fillId="2" borderId="1" xfId="0" applyNumberFormat="1" applyFont="1" applyFill="1" applyBorder="1" applyAlignment="1">
      <alignment horizontal="right" vertical="center"/>
    </xf>
    <xf numFmtId="164" fontId="21" fillId="2" borderId="1" xfId="0" applyNumberFormat="1" applyFont="1" applyFill="1" applyBorder="1" applyAlignment="1">
      <alignment vertical="center"/>
    </xf>
    <xf numFmtId="164" fontId="25" fillId="0" borderId="1" xfId="1" applyNumberFormat="1" applyFont="1" applyBorder="1" applyAlignment="1">
      <alignment horizontal="right" vertical="center" wrapText="1"/>
    </xf>
    <xf numFmtId="164" fontId="1" fillId="0" borderId="1" xfId="1" applyNumberFormat="1" applyFont="1" applyBorder="1" applyAlignment="1">
      <alignment horizontal="left" vertical="center" wrapText="1"/>
    </xf>
    <xf numFmtId="164" fontId="21" fillId="2" borderId="10" xfId="0" applyNumberFormat="1" applyFont="1" applyFill="1" applyBorder="1" applyAlignment="1">
      <alignment vertical="center"/>
    </xf>
    <xf numFmtId="164" fontId="21" fillId="0" borderId="1" xfId="1" applyNumberFormat="1" applyFont="1" applyBorder="1" applyAlignment="1">
      <alignment horizontal="right" vertical="center"/>
    </xf>
    <xf numFmtId="164" fontId="29" fillId="0" borderId="1" xfId="1" applyNumberFormat="1" applyFont="1" applyBorder="1" applyAlignment="1">
      <alignment vertical="center" wrapText="1"/>
    </xf>
    <xf numFmtId="164" fontId="46" fillId="0" borderId="1" xfId="0" applyNumberFormat="1" applyFont="1" applyFill="1" applyBorder="1" applyAlignment="1">
      <alignment horizontal="right" vertical="center" shrinkToFit="1"/>
    </xf>
    <xf numFmtId="164" fontId="30" fillId="0" borderId="1" xfId="1" applyNumberFormat="1" applyFont="1" applyBorder="1" applyAlignment="1">
      <alignment vertical="center"/>
    </xf>
    <xf numFmtId="164" fontId="28" fillId="0" borderId="1" xfId="1" applyNumberFormat="1" applyFont="1" applyBorder="1" applyAlignment="1">
      <alignment vertical="center"/>
    </xf>
    <xf numFmtId="164" fontId="21" fillId="0" borderId="1" xfId="1" applyNumberFormat="1" applyFont="1" applyFill="1" applyBorder="1" applyAlignment="1">
      <alignment vertical="center"/>
    </xf>
    <xf numFmtId="164" fontId="21" fillId="0" borderId="1" xfId="1" applyNumberFormat="1" applyFont="1" applyFill="1" applyBorder="1" applyAlignment="1">
      <alignment vertical="center" wrapText="1"/>
    </xf>
    <xf numFmtId="164" fontId="1" fillId="0" borderId="1" xfId="1" applyNumberFormat="1" applyFont="1" applyFill="1" applyBorder="1" applyAlignment="1">
      <alignment vertical="center" wrapText="1"/>
    </xf>
    <xf numFmtId="164" fontId="29" fillId="0" borderId="1" xfId="1" applyNumberFormat="1" applyFont="1" applyFill="1" applyBorder="1" applyAlignment="1">
      <alignment vertical="center" wrapText="1"/>
    </xf>
    <xf numFmtId="164" fontId="21" fillId="0" borderId="1" xfId="1" applyNumberFormat="1" applyFont="1" applyBorder="1" applyAlignment="1">
      <alignment horizontal="center" vertical="center"/>
    </xf>
    <xf numFmtId="164" fontId="3" fillId="0" borderId="1" xfId="1" applyNumberFormat="1" applyFont="1" applyFill="1" applyBorder="1" applyAlignment="1">
      <alignment vertical="center" wrapText="1"/>
    </xf>
    <xf numFmtId="164" fontId="25" fillId="0" borderId="1" xfId="1" applyNumberFormat="1" applyFont="1" applyFill="1" applyBorder="1" applyAlignment="1">
      <alignment vertical="center" wrapText="1"/>
    </xf>
    <xf numFmtId="164" fontId="28" fillId="0" borderId="1" xfId="1" applyNumberFormat="1" applyFont="1" applyFill="1" applyBorder="1"/>
    <xf numFmtId="164" fontId="30" fillId="0" borderId="1" xfId="1" applyNumberFormat="1" applyFont="1" applyFill="1" applyBorder="1"/>
    <xf numFmtId="164" fontId="31" fillId="0" borderId="1" xfId="0" applyNumberFormat="1" applyFont="1" applyFill="1" applyBorder="1" applyAlignment="1">
      <alignment horizontal="right" vertical="center" wrapText="1"/>
    </xf>
    <xf numFmtId="164" fontId="21" fillId="0" borderId="1" xfId="1" applyNumberFormat="1" applyFont="1" applyFill="1" applyBorder="1"/>
    <xf numFmtId="164" fontId="29" fillId="0" borderId="1" xfId="1" applyNumberFormat="1" applyFont="1" applyFill="1" applyBorder="1"/>
    <xf numFmtId="164" fontId="3" fillId="0" borderId="1" xfId="1" applyNumberFormat="1" applyFont="1" applyFill="1" applyBorder="1" applyAlignment="1">
      <alignment horizontal="center" vertical="center" wrapText="1"/>
    </xf>
    <xf numFmtId="164" fontId="1" fillId="0" borderId="1" xfId="1" applyNumberFormat="1" applyFont="1" applyFill="1" applyBorder="1" applyAlignment="1">
      <alignment horizontal="center" vertical="center" wrapText="1"/>
    </xf>
    <xf numFmtId="164" fontId="21" fillId="0" borderId="1" xfId="1" applyNumberFormat="1" applyFont="1" applyFill="1" applyBorder="1" applyAlignment="1">
      <alignment horizontal="center" vertical="center"/>
    </xf>
    <xf numFmtId="164" fontId="25" fillId="0" borderId="1" xfId="1" applyNumberFormat="1" applyFont="1" applyFill="1" applyBorder="1"/>
    <xf numFmtId="164" fontId="43" fillId="0" borderId="1" xfId="1" applyNumberFormat="1" applyFont="1" applyFill="1" applyBorder="1"/>
    <xf numFmtId="164" fontId="28" fillId="0" borderId="1" xfId="1" applyNumberFormat="1" applyFont="1" applyFill="1" applyBorder="1" applyAlignment="1">
      <alignment horizontal="center" vertical="center"/>
    </xf>
    <xf numFmtId="164" fontId="25" fillId="0" borderId="1" xfId="1" applyNumberFormat="1" applyFont="1" applyFill="1" applyBorder="1" applyAlignment="1">
      <alignment horizontal="center" vertical="center" wrapText="1"/>
    </xf>
    <xf numFmtId="164" fontId="29" fillId="0" borderId="1" xfId="1" applyNumberFormat="1" applyFont="1" applyFill="1" applyBorder="1" applyAlignment="1">
      <alignment horizontal="center" vertical="center"/>
    </xf>
    <xf numFmtId="164" fontId="25" fillId="0" borderId="1" xfId="1" applyNumberFormat="1" applyFont="1" applyFill="1" applyBorder="1" applyAlignment="1">
      <alignment horizontal="right" vertical="center" wrapText="1"/>
    </xf>
    <xf numFmtId="164" fontId="27" fillId="0" borderId="1" xfId="0" applyNumberFormat="1" applyFont="1" applyFill="1" applyBorder="1" applyAlignment="1">
      <alignment horizontal="center" vertical="center"/>
    </xf>
    <xf numFmtId="164" fontId="25" fillId="0" borderId="1" xfId="0" applyNumberFormat="1" applyFont="1" applyFill="1" applyBorder="1" applyAlignment="1">
      <alignment horizontal="center" vertical="center"/>
    </xf>
    <xf numFmtId="164" fontId="27" fillId="0" borderId="1" xfId="0" applyNumberFormat="1" applyFont="1" applyFill="1" applyBorder="1" applyAlignment="1">
      <alignment horizontal="right" vertical="center"/>
    </xf>
    <xf numFmtId="164" fontId="1" fillId="0" borderId="1" xfId="0" applyNumberFormat="1" applyFont="1" applyFill="1" applyBorder="1" applyAlignment="1">
      <alignment horizontal="center" vertical="center"/>
    </xf>
    <xf numFmtId="164" fontId="32" fillId="0" borderId="1" xfId="0" applyNumberFormat="1" applyFont="1" applyFill="1" applyBorder="1" applyAlignment="1">
      <alignment horizontal="center" vertical="center"/>
    </xf>
    <xf numFmtId="164" fontId="21"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wrapText="1"/>
    </xf>
    <xf numFmtId="164" fontId="25" fillId="0" borderId="1" xfId="0" applyNumberFormat="1" applyFont="1" applyFill="1" applyBorder="1" applyAlignment="1">
      <alignment horizontal="center" vertical="center" wrapText="1"/>
    </xf>
    <xf numFmtId="164" fontId="27" fillId="0" borderId="1" xfId="0" applyNumberFormat="1" applyFont="1" applyFill="1" applyBorder="1" applyAlignment="1">
      <alignment horizontal="left" vertical="center" wrapText="1"/>
    </xf>
    <xf numFmtId="164" fontId="25" fillId="0" borderId="1" xfId="0" applyNumberFormat="1" applyFont="1" applyFill="1" applyBorder="1" applyAlignment="1">
      <alignment vertical="center"/>
    </xf>
    <xf numFmtId="164" fontId="21" fillId="0" borderId="1" xfId="1" applyNumberFormat="1" applyFont="1" applyFill="1" applyBorder="1" applyAlignment="1">
      <alignment horizontal="center" vertical="center" wrapText="1"/>
    </xf>
    <xf numFmtId="164" fontId="66" fillId="0" borderId="1" xfId="1" applyNumberFormat="1" applyFont="1" applyFill="1" applyBorder="1" applyAlignment="1">
      <alignment vertical="center" wrapText="1"/>
    </xf>
    <xf numFmtId="164" fontId="66" fillId="0" borderId="1" xfId="0" applyNumberFormat="1" applyFont="1" applyFill="1" applyBorder="1" applyAlignment="1">
      <alignment horizontal="right" vertical="center"/>
    </xf>
    <xf numFmtId="164" fontId="21" fillId="0" borderId="1" xfId="1" applyNumberFormat="1" applyFont="1" applyFill="1" applyBorder="1" applyAlignment="1">
      <alignment horizontal="right" vertical="center" wrapText="1"/>
    </xf>
    <xf numFmtId="164" fontId="1" fillId="0" borderId="1" xfId="1" applyNumberFormat="1" applyFont="1" applyFill="1" applyBorder="1" applyAlignment="1">
      <alignment horizontal="right" vertical="center" wrapText="1"/>
    </xf>
    <xf numFmtId="164" fontId="3" fillId="0" borderId="1" xfId="1" applyNumberFormat="1" applyFont="1" applyFill="1" applyBorder="1" applyAlignment="1">
      <alignment horizontal="right" vertical="center" wrapText="1"/>
    </xf>
    <xf numFmtId="164" fontId="66" fillId="0" borderId="1" xfId="1" applyNumberFormat="1" applyFont="1" applyFill="1" applyBorder="1" applyAlignment="1">
      <alignment horizontal="right" vertical="center" wrapText="1"/>
    </xf>
    <xf numFmtId="164" fontId="21" fillId="0" borderId="1" xfId="1" applyNumberFormat="1" applyFont="1" applyFill="1" applyBorder="1" applyAlignment="1">
      <alignment horizontal="right" vertical="center"/>
    </xf>
    <xf numFmtId="164" fontId="28" fillId="0" borderId="1" xfId="1" applyNumberFormat="1" applyFont="1" applyFill="1" applyBorder="1" applyAlignment="1">
      <alignment horizontal="right" vertical="center"/>
    </xf>
    <xf numFmtId="164" fontId="21" fillId="0" borderId="9" xfId="1" applyNumberFormat="1" applyFont="1" applyFill="1" applyBorder="1" applyAlignment="1">
      <alignment vertical="center"/>
    </xf>
    <xf numFmtId="164" fontId="21" fillId="0" borderId="9" xfId="1" applyNumberFormat="1" applyFont="1" applyFill="1" applyBorder="1" applyAlignment="1">
      <alignment vertical="center" wrapText="1"/>
    </xf>
    <xf numFmtId="164" fontId="21" fillId="0" borderId="20" xfId="1" applyNumberFormat="1" applyFont="1" applyFill="1" applyBorder="1" applyAlignment="1">
      <alignment vertical="center" wrapText="1"/>
    </xf>
    <xf numFmtId="164" fontId="20" fillId="0" borderId="9" xfId="1" applyNumberFormat="1" applyFont="1" applyFill="1" applyBorder="1" applyAlignment="1">
      <alignment vertical="center" wrapText="1"/>
    </xf>
    <xf numFmtId="164" fontId="33" fillId="0" borderId="9" xfId="1" applyNumberFormat="1" applyFont="1" applyFill="1" applyBorder="1" applyAlignment="1">
      <alignment vertical="center" wrapText="1"/>
    </xf>
    <xf numFmtId="164" fontId="9" fillId="0" borderId="20" xfId="1" applyNumberFormat="1" applyFont="1" applyFill="1" applyBorder="1" applyAlignment="1">
      <alignment vertical="center" wrapText="1"/>
    </xf>
    <xf numFmtId="164" fontId="21" fillId="0" borderId="9" xfId="1" applyNumberFormat="1" applyFont="1" applyFill="1" applyBorder="1" applyAlignment="1">
      <alignment horizontal="center" vertical="center" wrapText="1"/>
    </xf>
    <xf numFmtId="164" fontId="34" fillId="0" borderId="20" xfId="1" applyNumberFormat="1" applyFont="1" applyFill="1" applyBorder="1" applyAlignment="1">
      <alignment vertical="center" wrapText="1"/>
    </xf>
    <xf numFmtId="164" fontId="34" fillId="0" borderId="9" xfId="1" applyNumberFormat="1" applyFont="1" applyFill="1" applyBorder="1" applyAlignment="1">
      <alignment vertical="center" wrapText="1"/>
    </xf>
    <xf numFmtId="164" fontId="66" fillId="0" borderId="1" xfId="1" applyNumberFormat="1" applyFont="1" applyBorder="1" applyAlignment="1">
      <alignment vertical="center" wrapText="1"/>
    </xf>
    <xf numFmtId="164" fontId="9" fillId="0" borderId="1" xfId="0" applyNumberFormat="1" applyFont="1" applyBorder="1" applyAlignment="1">
      <alignment horizontal="center" vertical="center"/>
    </xf>
    <xf numFmtId="164" fontId="46" fillId="0" borderId="1" xfId="1" applyNumberFormat="1" applyFont="1" applyBorder="1" applyAlignment="1">
      <alignment horizontal="center" vertical="center"/>
    </xf>
    <xf numFmtId="164" fontId="34" fillId="0" borderId="1" xfId="1" applyNumberFormat="1" applyFont="1" applyFill="1" applyBorder="1" applyAlignment="1">
      <alignment horizontal="center"/>
    </xf>
    <xf numFmtId="164" fontId="9" fillId="0" borderId="1" xfId="1" applyNumberFormat="1" applyFont="1" applyBorder="1" applyAlignment="1">
      <alignment vertical="center" wrapText="1"/>
    </xf>
    <xf numFmtId="164" fontId="9" fillId="0" borderId="1" xfId="1" applyNumberFormat="1" applyFont="1" applyBorder="1"/>
    <xf numFmtId="164" fontId="46" fillId="0" borderId="1" xfId="1" applyNumberFormat="1" applyFont="1" applyBorder="1" applyAlignment="1">
      <alignment horizontal="center" vertical="center" wrapText="1"/>
    </xf>
    <xf numFmtId="164" fontId="9" fillId="0" borderId="1" xfId="1" applyNumberFormat="1" applyFont="1" applyBorder="1" applyAlignment="1">
      <alignment horizontal="right" vertical="center"/>
    </xf>
    <xf numFmtId="164" fontId="9" fillId="0" borderId="1" xfId="1" applyNumberFormat="1" applyFont="1" applyBorder="1" applyAlignment="1">
      <alignment vertical="center"/>
    </xf>
    <xf numFmtId="164" fontId="46" fillId="0" borderId="1" xfId="1" applyNumberFormat="1" applyFont="1" applyFill="1" applyBorder="1" applyAlignment="1">
      <alignment horizontal="center"/>
    </xf>
    <xf numFmtId="164" fontId="33" fillId="0" borderId="1" xfId="1" applyNumberFormat="1" applyFont="1" applyBorder="1" applyAlignment="1">
      <alignment vertical="center" wrapText="1"/>
    </xf>
    <xf numFmtId="164" fontId="34" fillId="0" borderId="1" xfId="1" applyNumberFormat="1" applyFont="1" applyBorder="1" applyAlignment="1">
      <alignment vertical="center" wrapText="1"/>
    </xf>
    <xf numFmtId="164" fontId="9" fillId="0" borderId="1" xfId="1" applyNumberFormat="1" applyFont="1" applyFill="1" applyBorder="1" applyAlignment="1">
      <alignment vertical="center" wrapText="1"/>
    </xf>
    <xf numFmtId="164" fontId="9" fillId="0" borderId="1" xfId="1" applyNumberFormat="1" applyFont="1" applyBorder="1" applyAlignment="1">
      <alignment horizontal="center" vertical="center" wrapText="1"/>
    </xf>
    <xf numFmtId="164" fontId="21" fillId="0" borderId="1" xfId="0" applyNumberFormat="1" applyFont="1" applyBorder="1" applyAlignment="1">
      <alignment horizontal="right" vertical="center"/>
    </xf>
    <xf numFmtId="164" fontId="35" fillId="0" borderId="1" xfId="1" applyNumberFormat="1" applyFont="1" applyBorder="1"/>
    <xf numFmtId="164" fontId="36" fillId="0" borderId="1" xfId="1" applyNumberFormat="1" applyFont="1" applyFill="1" applyBorder="1"/>
    <xf numFmtId="164" fontId="5" fillId="0" borderId="1" xfId="1" applyNumberFormat="1" applyFont="1" applyFill="1" applyBorder="1"/>
    <xf numFmtId="164" fontId="36" fillId="0" borderId="1" xfId="1" applyNumberFormat="1" applyFont="1" applyBorder="1"/>
    <xf numFmtId="164" fontId="4" fillId="0" borderId="1" xfId="1" applyNumberFormat="1" applyFont="1" applyFill="1" applyBorder="1"/>
    <xf numFmtId="164" fontId="20" fillId="0" borderId="1" xfId="1" applyNumberFormat="1" applyFont="1" applyBorder="1" applyAlignment="1">
      <alignment vertical="center" wrapText="1"/>
    </xf>
    <xf numFmtId="164" fontId="4" fillId="0" borderId="1" xfId="1" applyNumberFormat="1" applyFont="1" applyBorder="1"/>
    <xf numFmtId="164" fontId="5" fillId="0" borderId="1" xfId="1" applyNumberFormat="1" applyFont="1" applyBorder="1"/>
    <xf numFmtId="164" fontId="35" fillId="0" borderId="1" xfId="1" applyNumberFormat="1" applyFont="1" applyFill="1" applyBorder="1"/>
    <xf numFmtId="164" fontId="37" fillId="0" borderId="1" xfId="0" applyNumberFormat="1" applyFont="1" applyFill="1" applyBorder="1" applyAlignment="1">
      <alignment horizontal="right" vertical="center" wrapText="1"/>
    </xf>
    <xf numFmtId="164" fontId="9" fillId="0" borderId="1" xfId="0" applyNumberFormat="1" applyFont="1" applyFill="1" applyBorder="1" applyAlignment="1">
      <alignment horizontal="right" vertical="center" wrapText="1"/>
    </xf>
    <xf numFmtId="164" fontId="9" fillId="0" borderId="1" xfId="0" applyNumberFormat="1" applyFont="1" applyBorder="1" applyAlignment="1">
      <alignment horizontal="center" vertical="center" wrapText="1"/>
    </xf>
    <xf numFmtId="3" fontId="9" fillId="0" borderId="0" xfId="0" applyNumberFormat="1" applyFont="1"/>
    <xf numFmtId="0" fontId="17" fillId="0" borderId="0" xfId="0" applyFont="1" applyAlignment="1">
      <alignment horizontal="center"/>
    </xf>
    <xf numFmtId="0" fontId="18" fillId="0" borderId="0" xfId="0" applyFont="1" applyAlignment="1">
      <alignment horizontal="center"/>
    </xf>
    <xf numFmtId="164" fontId="3" fillId="0" borderId="1" xfId="1" applyNumberFormat="1" applyFont="1" applyBorder="1" applyAlignment="1">
      <alignment horizontal="center" vertical="center" wrapText="1"/>
    </xf>
    <xf numFmtId="164" fontId="3" fillId="0" borderId="11" xfId="1" applyFont="1" applyBorder="1" applyAlignment="1">
      <alignment horizontal="center" vertical="center" wrapText="1"/>
    </xf>
    <xf numFmtId="164" fontId="3" fillId="0" borderId="12" xfId="1" applyFont="1" applyBorder="1" applyAlignment="1">
      <alignment horizontal="center" vertical="center" wrapText="1"/>
    </xf>
    <xf numFmtId="164" fontId="3" fillId="0" borderId="13" xfId="1" applyFont="1" applyBorder="1" applyAlignment="1">
      <alignment horizontal="center" vertical="center" wrapText="1"/>
    </xf>
    <xf numFmtId="164" fontId="26" fillId="0" borderId="1" xfId="1" applyNumberFormat="1" applyFont="1" applyBorder="1" applyAlignment="1">
      <alignment horizontal="center" vertical="center" wrapText="1"/>
    </xf>
    <xf numFmtId="165" fontId="3" fillId="0" borderId="2" xfId="1" applyNumberFormat="1" applyFont="1" applyBorder="1" applyAlignment="1">
      <alignment horizontal="center" vertical="center" wrapText="1"/>
    </xf>
    <xf numFmtId="165" fontId="3" fillId="0" borderId="8" xfId="1" applyNumberFormat="1" applyFont="1" applyBorder="1" applyAlignment="1">
      <alignment horizontal="center" vertical="center" wrapText="1"/>
    </xf>
    <xf numFmtId="165" fontId="3" fillId="0" borderId="10" xfId="1" applyNumberFormat="1" applyFont="1" applyBorder="1" applyAlignment="1">
      <alignment horizontal="center" vertical="center" wrapText="1"/>
    </xf>
    <xf numFmtId="164" fontId="16" fillId="0" borderId="0" xfId="1" applyFont="1" applyAlignment="1">
      <alignment horizontal="center" vertical="center" wrapText="1"/>
    </xf>
    <xf numFmtId="164" fontId="3" fillId="0" borderId="1" xfId="1"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165" fontId="3" fillId="0" borderId="1" xfId="1" applyNumberFormat="1" applyFont="1" applyBorder="1" applyAlignment="1">
      <alignment horizontal="center" vertical="center" wrapText="1"/>
    </xf>
    <xf numFmtId="0" fontId="16" fillId="0" borderId="0" xfId="0" applyFont="1" applyAlignment="1">
      <alignment horizontal="center" wrapText="1"/>
    </xf>
    <xf numFmtId="0" fontId="14" fillId="0" borderId="0" xfId="0" applyFont="1" applyAlignment="1">
      <alignment horizontal="center" wrapText="1"/>
    </xf>
    <xf numFmtId="0" fontId="53" fillId="0" borderId="2" xfId="3" applyNumberFormat="1" applyFont="1" applyBorder="1" applyAlignment="1">
      <alignment horizontal="center" vertical="center" wrapText="1"/>
    </xf>
    <xf numFmtId="0" fontId="53" fillId="0" borderId="8" xfId="3" applyNumberFormat="1" applyFont="1" applyBorder="1" applyAlignment="1">
      <alignment horizontal="center" vertical="center" wrapText="1"/>
    </xf>
    <xf numFmtId="0" fontId="53" fillId="0" borderId="10" xfId="3" applyNumberFormat="1" applyFont="1" applyBorder="1" applyAlignment="1">
      <alignment horizontal="center" vertical="center" wrapText="1"/>
    </xf>
    <xf numFmtId="0" fontId="53" fillId="0" borderId="8" xfId="0" applyFont="1" applyBorder="1" applyAlignment="1">
      <alignment horizontal="center" vertical="center" wrapText="1"/>
    </xf>
    <xf numFmtId="0" fontId="53" fillId="0" borderId="10" xfId="0" applyFont="1" applyBorder="1" applyAlignment="1">
      <alignment horizontal="center" vertical="center" wrapText="1"/>
    </xf>
    <xf numFmtId="0" fontId="52" fillId="0" borderId="3" xfId="3" applyNumberFormat="1" applyFont="1" applyBorder="1" applyAlignment="1">
      <alignment horizontal="center" vertical="center"/>
    </xf>
    <xf numFmtId="0" fontId="53" fillId="0" borderId="2" xfId="3" applyNumberFormat="1" applyFont="1" applyFill="1" applyBorder="1" applyAlignment="1">
      <alignment horizontal="center" vertical="center" wrapText="1"/>
    </xf>
    <xf numFmtId="0" fontId="53" fillId="0" borderId="8" xfId="3" applyNumberFormat="1" applyFont="1" applyFill="1" applyBorder="1" applyAlignment="1">
      <alignment horizontal="center" vertical="center" wrapText="1"/>
    </xf>
    <xf numFmtId="0" fontId="53" fillId="0" borderId="10" xfId="3" applyNumberFormat="1" applyFont="1" applyFill="1" applyBorder="1" applyAlignment="1">
      <alignment horizontal="center" vertical="center" wrapText="1"/>
    </xf>
    <xf numFmtId="0" fontId="48" fillId="0" borderId="0" xfId="3" applyNumberFormat="1" applyFont="1" applyFill="1" applyAlignment="1">
      <alignment horizontal="center" wrapText="1"/>
    </xf>
    <xf numFmtId="0" fontId="49" fillId="0" borderId="0" xfId="3" applyFont="1" applyFill="1" applyAlignment="1">
      <alignment horizontal="center" wrapText="1"/>
    </xf>
    <xf numFmtId="0" fontId="50" fillId="0" borderId="0" xfId="3" applyNumberFormat="1" applyFont="1" applyAlignment="1">
      <alignment horizontal="center" vertical="center"/>
    </xf>
    <xf numFmtId="0" fontId="50" fillId="0" borderId="0" xfId="3" applyFont="1" applyAlignment="1">
      <alignment horizontal="center" vertical="center"/>
    </xf>
    <xf numFmtId="0" fontId="25" fillId="0" borderId="2" xfId="0" applyNumberFormat="1"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8" xfId="0" applyNumberFormat="1" applyFont="1" applyFill="1" applyBorder="1" applyAlignment="1">
      <alignment horizontal="center" vertical="center" wrapText="1"/>
    </xf>
    <xf numFmtId="0" fontId="25" fillId="0" borderId="10" xfId="0" applyNumberFormat="1" applyFont="1" applyFill="1" applyBorder="1" applyAlignment="1">
      <alignment horizontal="center" vertical="center" wrapText="1"/>
    </xf>
    <xf numFmtId="0" fontId="20" fillId="0" borderId="14" xfId="0" applyNumberFormat="1" applyFont="1" applyFill="1" applyBorder="1" applyAlignment="1">
      <alignment horizontal="center" vertical="center"/>
    </xf>
    <xf numFmtId="0" fontId="20" fillId="0" borderId="15" xfId="0" applyFont="1" applyFill="1" applyBorder="1" applyAlignment="1">
      <alignment horizontal="center" vertical="center"/>
    </xf>
    <xf numFmtId="0" fontId="20" fillId="0" borderId="4" xfId="0" applyFont="1" applyFill="1" applyBorder="1" applyAlignment="1">
      <alignment horizontal="center" vertical="center"/>
    </xf>
    <xf numFmtId="0" fontId="45" fillId="0" borderId="11" xfId="0" applyNumberFormat="1" applyFont="1" applyFill="1" applyBorder="1" applyAlignment="1">
      <alignment horizontal="center" vertical="center" wrapText="1" shrinkToFit="1"/>
    </xf>
    <xf numFmtId="0" fontId="45" fillId="0" borderId="16" xfId="0" applyNumberFormat="1" applyFont="1" applyFill="1" applyBorder="1" applyAlignment="1">
      <alignment horizontal="center" vertical="center" wrapText="1" shrinkToFit="1"/>
    </xf>
    <xf numFmtId="0" fontId="45" fillId="0" borderId="16" xfId="0" applyFont="1" applyFill="1" applyBorder="1" applyAlignment="1">
      <alignment horizontal="center" vertical="center" wrapText="1" shrinkToFit="1"/>
    </xf>
    <xf numFmtId="0" fontId="45" fillId="0" borderId="17" xfId="0" applyFont="1" applyFill="1" applyBorder="1" applyAlignment="1">
      <alignment horizontal="center" vertical="center" wrapText="1" shrinkToFit="1"/>
    </xf>
    <xf numFmtId="0" fontId="45" fillId="0" borderId="12" xfId="0" applyFont="1" applyFill="1" applyBorder="1" applyAlignment="1">
      <alignment horizontal="center" vertical="center" wrapText="1" shrinkToFit="1"/>
    </xf>
    <xf numFmtId="0" fontId="45" fillId="0" borderId="0" xfId="0" applyFont="1" applyFill="1" applyBorder="1" applyAlignment="1">
      <alignment horizontal="center" vertical="center" wrapText="1" shrinkToFit="1"/>
    </xf>
    <xf numFmtId="0" fontId="45" fillId="0" borderId="18" xfId="0" applyFont="1" applyFill="1" applyBorder="1" applyAlignment="1">
      <alignment horizontal="center" vertical="center" wrapText="1" shrinkToFit="1"/>
    </xf>
    <xf numFmtId="0" fontId="45" fillId="0" borderId="13" xfId="0" applyFont="1" applyFill="1" applyBorder="1" applyAlignment="1">
      <alignment horizontal="center" vertical="center" wrapText="1" shrinkToFit="1"/>
    </xf>
    <xf numFmtId="0" fontId="45" fillId="0" borderId="3" xfId="0" applyFont="1" applyFill="1" applyBorder="1" applyAlignment="1">
      <alignment horizontal="center" vertical="center" wrapText="1" shrinkToFit="1"/>
    </xf>
    <xf numFmtId="0" fontId="45" fillId="0" borderId="19" xfId="0" applyFont="1" applyFill="1" applyBorder="1" applyAlignment="1">
      <alignment horizontal="center" vertical="center" wrapText="1" shrinkToFit="1"/>
    </xf>
    <xf numFmtId="0" fontId="25" fillId="0" borderId="17" xfId="0" applyFont="1" applyFill="1" applyBorder="1" applyAlignment="1">
      <alignment horizontal="center" vertical="center" wrapText="1" shrinkToFit="1"/>
    </xf>
    <xf numFmtId="0" fontId="25" fillId="0" borderId="18" xfId="0" applyFont="1" applyFill="1" applyBorder="1" applyAlignment="1">
      <alignment horizontal="center" vertical="center" wrapText="1" shrinkToFit="1"/>
    </xf>
    <xf numFmtId="0" fontId="25" fillId="0" borderId="19" xfId="0" applyFont="1" applyFill="1" applyBorder="1" applyAlignment="1">
      <alignment horizontal="center" vertical="center" wrapText="1" shrinkToFit="1"/>
    </xf>
    <xf numFmtId="0" fontId="25" fillId="0" borderId="2" xfId="0" applyNumberFormat="1" applyFont="1" applyFill="1" applyBorder="1" applyAlignment="1">
      <alignment horizontal="center" vertical="center" wrapText="1" shrinkToFit="1"/>
    </xf>
    <xf numFmtId="0" fontId="25" fillId="0" borderId="8" xfId="0" applyNumberFormat="1" applyFont="1" applyFill="1" applyBorder="1" applyAlignment="1">
      <alignment horizontal="center" vertical="center" wrapText="1" shrinkToFit="1"/>
    </xf>
    <xf numFmtId="0" fontId="25" fillId="0" borderId="10" xfId="0" applyNumberFormat="1" applyFont="1" applyFill="1" applyBorder="1" applyAlignment="1">
      <alignment horizontal="center" vertical="center" wrapText="1" shrinkToFit="1"/>
    </xf>
    <xf numFmtId="0" fontId="45" fillId="0" borderId="2" xfId="0" applyNumberFormat="1" applyFont="1" applyFill="1" applyBorder="1" applyAlignment="1">
      <alignment horizontal="center" vertical="center" wrapText="1"/>
    </xf>
    <xf numFmtId="0" fontId="45" fillId="0" borderId="10" xfId="0" applyFont="1" applyFill="1" applyBorder="1" applyAlignment="1">
      <alignment horizontal="center" vertical="center" wrapText="1"/>
    </xf>
    <xf numFmtId="0" fontId="16" fillId="0" borderId="0" xfId="0" applyFont="1" applyAlignment="1">
      <alignment horizontal="left" wrapText="1"/>
    </xf>
    <xf numFmtId="0" fontId="14" fillId="0" borderId="0" xfId="0" applyFont="1" applyAlignment="1">
      <alignment horizontal="left" wrapText="1"/>
    </xf>
    <xf numFmtId="0" fontId="59" fillId="0" borderId="0" xfId="0" applyNumberFormat="1" applyFont="1" applyFill="1" applyAlignment="1">
      <alignment horizontal="center" vertical="center"/>
    </xf>
    <xf numFmtId="0" fontId="73" fillId="0" borderId="0" xfId="0" applyFont="1" applyFill="1" applyAlignment="1">
      <alignment horizontal="center" vertical="center"/>
    </xf>
    <xf numFmtId="0" fontId="72" fillId="0" borderId="0" xfId="0" applyFont="1" applyBorder="1" applyAlignment="1">
      <alignment horizontal="center" vertical="center"/>
    </xf>
    <xf numFmtId="0" fontId="79" fillId="0" borderId="16" xfId="0" applyFont="1" applyBorder="1" applyAlignment="1">
      <alignment horizontal="left"/>
    </xf>
    <xf numFmtId="0" fontId="80" fillId="0" borderId="16" xfId="0" applyFont="1" applyBorder="1" applyAlignment="1">
      <alignment horizontal="left"/>
    </xf>
    <xf numFmtId="0" fontId="60" fillId="0" borderId="0" xfId="0" applyFont="1" applyAlignment="1">
      <alignment horizontal="center" wrapText="1"/>
    </xf>
    <xf numFmtId="0" fontId="60" fillId="0" borderId="0" xfId="0" applyFont="1" applyAlignment="1">
      <alignment horizontal="center"/>
    </xf>
    <xf numFmtId="44" fontId="20" fillId="0" borderId="2" xfId="0" applyNumberFormat="1" applyFont="1" applyBorder="1" applyAlignment="1">
      <alignment horizontal="center" vertical="center"/>
    </xf>
    <xf numFmtId="44" fontId="20" fillId="0" borderId="10" xfId="0" applyNumberFormat="1" applyFont="1" applyBorder="1" applyAlignment="1">
      <alignment horizontal="center" vertical="center"/>
    </xf>
    <xf numFmtId="44" fontId="20" fillId="0" borderId="14" xfId="0" applyNumberFormat="1" applyFont="1" applyBorder="1" applyAlignment="1">
      <alignment horizontal="center" vertical="center" wrapText="1"/>
    </xf>
    <xf numFmtId="44" fontId="20" fillId="0" borderId="15" xfId="0" applyNumberFormat="1" applyFont="1" applyBorder="1" applyAlignment="1">
      <alignment horizontal="center" vertical="center" wrapText="1"/>
    </xf>
    <xf numFmtId="44" fontId="20" fillId="0" borderId="4" xfId="0" applyNumberFormat="1" applyFont="1" applyBorder="1" applyAlignment="1">
      <alignment horizontal="center" vertical="center" wrapText="1"/>
    </xf>
    <xf numFmtId="0" fontId="61" fillId="0" borderId="0" xfId="0" applyFont="1" applyAlignment="1">
      <alignment horizontal="center"/>
    </xf>
  </cellXfs>
  <cellStyles count="5">
    <cellStyle name="Comma" xfId="1" builtinId="3"/>
    <cellStyle name="Comma 2" xfId="2"/>
    <cellStyle name="Normal" xfId="0" builtinId="0"/>
    <cellStyle name="Normal 2" xfId="3"/>
    <cellStyle name="Normal_Sheet1" xfId="4"/>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447675</xdr:colOff>
      <xdr:row>2</xdr:row>
      <xdr:rowOff>38100</xdr:rowOff>
    </xdr:from>
    <xdr:to>
      <xdr:col>1</xdr:col>
      <xdr:colOff>1647825</xdr:colOff>
      <xdr:row>2</xdr:row>
      <xdr:rowOff>38100</xdr:rowOff>
    </xdr:to>
    <xdr:sp macro="" textlink="">
      <xdr:nvSpPr>
        <xdr:cNvPr id="5193" name="Line 5"/>
        <xdr:cNvSpPr>
          <a:spLocks noChangeShapeType="1"/>
        </xdr:cNvSpPr>
      </xdr:nvSpPr>
      <xdr:spPr bwMode="auto">
        <a:xfrm>
          <a:off x="809625" y="666750"/>
          <a:ext cx="1200150" cy="0"/>
        </a:xfrm>
        <a:prstGeom prst="line">
          <a:avLst/>
        </a:prstGeom>
        <a:noFill/>
        <a:ln w="9525">
          <a:solidFill>
            <a:srgbClr val="000000"/>
          </a:solidFill>
          <a:round/>
          <a:headEnd/>
          <a:tailEnd/>
        </a:ln>
      </xdr:spPr>
    </xdr:sp>
    <xdr:clientData/>
  </xdr:twoCellAnchor>
  <xdr:twoCellAnchor>
    <xdr:from>
      <xdr:col>10</xdr:col>
      <xdr:colOff>0</xdr:colOff>
      <xdr:row>4</xdr:row>
      <xdr:rowOff>95250</xdr:rowOff>
    </xdr:from>
    <xdr:to>
      <xdr:col>15</xdr:col>
      <xdr:colOff>9525</xdr:colOff>
      <xdr:row>4</xdr:row>
      <xdr:rowOff>95250</xdr:rowOff>
    </xdr:to>
    <xdr:sp macro="" textlink="">
      <xdr:nvSpPr>
        <xdr:cNvPr id="5194" name="Line 6"/>
        <xdr:cNvSpPr>
          <a:spLocks noChangeShapeType="1"/>
        </xdr:cNvSpPr>
      </xdr:nvSpPr>
      <xdr:spPr bwMode="auto">
        <a:xfrm>
          <a:off x="6762750" y="1504950"/>
          <a:ext cx="2333625" cy="0"/>
        </a:xfrm>
        <a:prstGeom prst="line">
          <a:avLst/>
        </a:prstGeom>
        <a:noFill/>
        <a:ln w="9525">
          <a:solidFill>
            <a:srgbClr val="000000"/>
          </a:solidFill>
          <a:round/>
          <a:headEnd/>
          <a:tailEnd/>
        </a:ln>
      </xdr:spPr>
    </xdr:sp>
    <xdr:clientData/>
  </xdr:twoCellAnchor>
  <xdr:twoCellAnchor>
    <xdr:from>
      <xdr:col>1</xdr:col>
      <xdr:colOff>504825</xdr:colOff>
      <xdr:row>2</xdr:row>
      <xdr:rowOff>38100</xdr:rowOff>
    </xdr:from>
    <xdr:to>
      <xdr:col>1</xdr:col>
      <xdr:colOff>1704975</xdr:colOff>
      <xdr:row>2</xdr:row>
      <xdr:rowOff>38100</xdr:rowOff>
    </xdr:to>
    <xdr:sp macro="" textlink="">
      <xdr:nvSpPr>
        <xdr:cNvPr id="5195" name="Line 5"/>
        <xdr:cNvSpPr>
          <a:spLocks noChangeShapeType="1"/>
        </xdr:cNvSpPr>
      </xdr:nvSpPr>
      <xdr:spPr bwMode="auto">
        <a:xfrm>
          <a:off x="866775" y="666750"/>
          <a:ext cx="1200150" cy="0"/>
        </a:xfrm>
        <a:prstGeom prst="line">
          <a:avLst/>
        </a:prstGeom>
        <a:noFill/>
        <a:ln w="9525">
          <a:solidFill>
            <a:srgbClr val="000000"/>
          </a:solidFill>
          <a:round/>
          <a:headEnd/>
          <a:tailEnd/>
        </a:ln>
      </xdr:spPr>
    </xdr:sp>
    <xdr:clientData/>
  </xdr:twoCellAnchor>
  <xdr:twoCellAnchor>
    <xdr:from>
      <xdr:col>10</xdr:col>
      <xdr:colOff>0</xdr:colOff>
      <xdr:row>4</xdr:row>
      <xdr:rowOff>95250</xdr:rowOff>
    </xdr:from>
    <xdr:to>
      <xdr:col>16</xdr:col>
      <xdr:colOff>447675</xdr:colOff>
      <xdr:row>4</xdr:row>
      <xdr:rowOff>95250</xdr:rowOff>
    </xdr:to>
    <xdr:sp macro="" textlink="">
      <xdr:nvSpPr>
        <xdr:cNvPr id="5196" name="Line 6"/>
        <xdr:cNvSpPr>
          <a:spLocks noChangeShapeType="1"/>
        </xdr:cNvSpPr>
      </xdr:nvSpPr>
      <xdr:spPr bwMode="auto">
        <a:xfrm>
          <a:off x="6762750" y="1504950"/>
          <a:ext cx="321945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542925</xdr:colOff>
      <xdr:row>2</xdr:row>
      <xdr:rowOff>38100</xdr:rowOff>
    </xdr:from>
    <xdr:to>
      <xdr:col>2</xdr:col>
      <xdr:colOff>9525</xdr:colOff>
      <xdr:row>2</xdr:row>
      <xdr:rowOff>38100</xdr:rowOff>
    </xdr:to>
    <xdr:sp macro="" textlink="">
      <xdr:nvSpPr>
        <xdr:cNvPr id="11265" name="Line 1"/>
        <xdr:cNvSpPr>
          <a:spLocks noChangeShapeType="1"/>
        </xdr:cNvSpPr>
      </xdr:nvSpPr>
      <xdr:spPr bwMode="auto">
        <a:xfrm>
          <a:off x="857250" y="457200"/>
          <a:ext cx="1123950" cy="0"/>
        </a:xfrm>
        <a:prstGeom prst="line">
          <a:avLst/>
        </a:prstGeom>
        <a:noFill/>
        <a:ln w="9525">
          <a:solidFill>
            <a:srgbClr val="000000"/>
          </a:solidFill>
          <a:round/>
          <a:headEnd/>
          <a:tailEnd/>
        </a:ln>
      </xdr:spPr>
    </xdr:sp>
    <xdr:clientData/>
  </xdr:twoCellAnchor>
  <xdr:twoCellAnchor>
    <xdr:from>
      <xdr:col>2</xdr:col>
      <xdr:colOff>733425</xdr:colOff>
      <xdr:row>4</xdr:row>
      <xdr:rowOff>57150</xdr:rowOff>
    </xdr:from>
    <xdr:to>
      <xdr:col>5</xdr:col>
      <xdr:colOff>57150</xdr:colOff>
      <xdr:row>4</xdr:row>
      <xdr:rowOff>57150</xdr:rowOff>
    </xdr:to>
    <xdr:sp macro="" textlink="">
      <xdr:nvSpPr>
        <xdr:cNvPr id="11266" name="Line 2"/>
        <xdr:cNvSpPr>
          <a:spLocks noChangeShapeType="1"/>
        </xdr:cNvSpPr>
      </xdr:nvSpPr>
      <xdr:spPr bwMode="auto">
        <a:xfrm>
          <a:off x="2705100" y="1552575"/>
          <a:ext cx="2419350"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114300</xdr:colOff>
      <xdr:row>2</xdr:row>
      <xdr:rowOff>19050</xdr:rowOff>
    </xdr:from>
    <xdr:to>
      <xdr:col>1</xdr:col>
      <xdr:colOff>1323975</xdr:colOff>
      <xdr:row>2</xdr:row>
      <xdr:rowOff>19050</xdr:rowOff>
    </xdr:to>
    <xdr:sp macro="" textlink="">
      <xdr:nvSpPr>
        <xdr:cNvPr id="9218" name="Line 2"/>
        <xdr:cNvSpPr>
          <a:spLocks noChangeShapeType="1"/>
        </xdr:cNvSpPr>
      </xdr:nvSpPr>
      <xdr:spPr bwMode="auto">
        <a:xfrm>
          <a:off x="590550" y="476250"/>
          <a:ext cx="1209675"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228600</xdr:colOff>
      <xdr:row>2</xdr:row>
      <xdr:rowOff>28575</xdr:rowOff>
    </xdr:from>
    <xdr:to>
      <xdr:col>1</xdr:col>
      <xdr:colOff>1323975</xdr:colOff>
      <xdr:row>2</xdr:row>
      <xdr:rowOff>28575</xdr:rowOff>
    </xdr:to>
    <xdr:sp macro="" textlink="">
      <xdr:nvSpPr>
        <xdr:cNvPr id="12289" name="Line 1"/>
        <xdr:cNvSpPr>
          <a:spLocks noChangeShapeType="1"/>
        </xdr:cNvSpPr>
      </xdr:nvSpPr>
      <xdr:spPr bwMode="auto">
        <a:xfrm>
          <a:off x="647700" y="447675"/>
          <a:ext cx="1095375" cy="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428625</xdr:colOff>
      <xdr:row>2</xdr:row>
      <xdr:rowOff>19050</xdr:rowOff>
    </xdr:from>
    <xdr:to>
      <xdr:col>1</xdr:col>
      <xdr:colOff>1247775</xdr:colOff>
      <xdr:row>2</xdr:row>
      <xdr:rowOff>19050</xdr:rowOff>
    </xdr:to>
    <xdr:sp macro="" textlink="">
      <xdr:nvSpPr>
        <xdr:cNvPr id="10241" name="Line 1"/>
        <xdr:cNvSpPr>
          <a:spLocks noChangeShapeType="1"/>
        </xdr:cNvSpPr>
      </xdr:nvSpPr>
      <xdr:spPr bwMode="auto">
        <a:xfrm>
          <a:off x="847725" y="438150"/>
          <a:ext cx="819150" cy="0"/>
        </a:xfrm>
        <a:prstGeom prst="lin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nh%20TC-KH%202018/VB%20gui%20co%20quan%20cap%20tren/Bao%20cao%20nhu%20cau,%20nguon%20thuc%20hien%20luong%20co%20so%20nam%202018%20(goi%20ST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ap%20nhu%20cau,%20nguon%20thuc%20hien%20luong%20co%20so%20nam%202019%20(gui%20So%20Tai%20chinh).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nháp"/>
      <sheetName val="2.a2"/>
      <sheetName val="2b"/>
      <sheetName val="2.c2 (ko có)"/>
      <sheetName val="2d"/>
      <sheetName val="2đ"/>
      <sheetName val="2e (ko có)"/>
      <sheetName val="2.g2 (quỹ lương)"/>
      <sheetName val="2.g2 (hệ số)"/>
      <sheetName val="4.a2"/>
      <sheetName val="4.b2"/>
      <sheetName val="TRo cap lan đau"/>
      <sheetName val="2.g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Đang, CQ, ĐThể, ĐVSN huyen"/>
      <sheetName val="3a"/>
      <sheetName val="Truong hoc"/>
      <sheetName val="UBND cac xã"/>
      <sheetName val="Cán bộ xã nghỉ việc"/>
      <sheetName val="2a"/>
      <sheetName val="2b"/>
      <sheetName val="2c"/>
      <sheetName val="2d"/>
      <sheetName val="2đ"/>
      <sheetName val="2k"/>
      <sheetName val="21"/>
      <sheetName val="4a"/>
      <sheetName val="4b"/>
    </sheetNames>
    <sheetDataSet>
      <sheetData sheetId="0">
        <row r="12">
          <cell r="B12" t="str">
            <v>Phòng Nội vụ</v>
          </cell>
        </row>
        <row r="19">
          <cell r="B19" t="str">
            <v>Thanh tra huyện</v>
          </cell>
        </row>
        <row r="25">
          <cell r="B25" t="str">
            <v>Phòng Tài nguyên và Môi trường</v>
          </cell>
        </row>
        <row r="33">
          <cell r="B33" t="str">
            <v>Phòng Văn Hóa - Thông tin</v>
          </cell>
        </row>
        <row r="39">
          <cell r="B39" t="str">
            <v>Phòng Nông nghiệp và Phát triển nông thôn</v>
          </cell>
        </row>
        <row r="45">
          <cell r="B45" t="str">
            <v>Phòng Tư pháp</v>
          </cell>
        </row>
        <row r="50">
          <cell r="B50" t="str">
            <v>Phòng Tài chính - Kế hoạch</v>
          </cell>
        </row>
        <row r="57">
          <cell r="B57" t="str">
            <v>Phòng Kinh tế - Hạ tầng</v>
          </cell>
        </row>
        <row r="64">
          <cell r="B64" t="str">
            <v>Phòng Lao động - Thương binh và Xã hội</v>
          </cell>
        </row>
        <row r="70">
          <cell r="B70" t="str">
            <v>Phòng Giáo dục và Đào tạo</v>
          </cell>
        </row>
        <row r="77">
          <cell r="B77" t="str">
            <v>Ban Chỉ huy quân sự huyện</v>
          </cell>
          <cell r="Z77">
            <v>13644000</v>
          </cell>
        </row>
        <row r="90">
          <cell r="B90" t="str">
            <v>Văn phòng Cấp ủy và Chính quyền huyện (chủ tài khoản)</v>
          </cell>
        </row>
        <row r="122">
          <cell r="B122" t="str">
            <v>Ban Tổ chức</v>
          </cell>
        </row>
        <row r="129">
          <cell r="B129" t="str">
            <v>Ủy ban kiểm tra</v>
          </cell>
        </row>
        <row r="134">
          <cell r="B134" t="str">
            <v>Ban Tuyên giáo</v>
          </cell>
        </row>
        <row r="138">
          <cell r="B138" t="str">
            <v>Ban Dân vận</v>
          </cell>
        </row>
        <row r="143">
          <cell r="B143" t="str">
            <v>Phụ cấp huyện ủy viên</v>
          </cell>
        </row>
        <row r="179">
          <cell r="B179" t="str">
            <v>Phụ cấp Đại biểu HĐND huyện</v>
          </cell>
        </row>
        <row r="207">
          <cell r="B207" t="str">
            <v>Phụ cấp báo cáo viên</v>
          </cell>
        </row>
        <row r="234">
          <cell r="B234" t="str">
            <v>Phụ cấp cấp ủy chi bộ</v>
          </cell>
        </row>
        <row r="239">
          <cell r="B239" t="str">
            <v>Khối đoàn thể cấp huyện</v>
          </cell>
        </row>
        <row r="280">
          <cell r="B280" t="str">
            <v>Khối đơn vị sự nghiệp thuộc huyện</v>
          </cell>
        </row>
        <row r="281">
          <cell r="B281" t="str">
            <v>Trung tâm bồi dưỡng chính trị</v>
          </cell>
        </row>
        <row r="284">
          <cell r="B284" t="str">
            <v>Trung tâm phát triển quỹ đất</v>
          </cell>
        </row>
        <row r="291">
          <cell r="B291" t="str">
            <v>Trung tâm Văn hóa - Thể thao và truyền thanh</v>
          </cell>
        </row>
      </sheetData>
      <sheetData sheetId="1" refreshError="1"/>
      <sheetData sheetId="2"/>
      <sheetData sheetId="3">
        <row r="11">
          <cell r="B11" t="str">
            <v>Xã Phước Nam</v>
          </cell>
        </row>
        <row r="82">
          <cell r="B82" t="str">
            <v>Xã Phước Dinh</v>
          </cell>
        </row>
        <row r="148">
          <cell r="B148" t="str">
            <v>Xã Phước Minh</v>
          </cell>
        </row>
        <row r="205">
          <cell r="B205" t="str">
            <v>Xã Nhị Hà</v>
          </cell>
        </row>
        <row r="267">
          <cell r="B267" t="str">
            <v>Xã Cà Ná</v>
          </cell>
        </row>
        <row r="325">
          <cell r="B325" t="str">
            <v>Xã Phước Ninh</v>
          </cell>
        </row>
        <row r="383">
          <cell r="B383" t="str">
            <v>Xã Phước Hà</v>
          </cell>
        </row>
        <row r="446">
          <cell r="B446" t="str">
            <v>Xã Phước Diêm</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enableFormatConditionsCalculation="0">
    <tabColor indexed="10"/>
  </sheetPr>
  <dimension ref="A1:AC845"/>
  <sheetViews>
    <sheetView topLeftCell="A7" workbookViewId="0">
      <selection activeCell="Z14" sqref="Z14"/>
    </sheetView>
  </sheetViews>
  <sheetFormatPr defaultRowHeight="15.75"/>
  <cols>
    <col min="1" max="1" width="5.42578125" style="19" customWidth="1"/>
    <col min="2" max="2" width="32.85546875" style="1" customWidth="1"/>
    <col min="3" max="3" width="7.42578125" style="8" customWidth="1"/>
    <col min="4" max="4" width="7.140625" style="9" customWidth="1"/>
    <col min="5" max="5" width="10" style="6" customWidth="1"/>
    <col min="6" max="6" width="9.7109375" style="350" customWidth="1"/>
    <col min="7" max="7" width="8.42578125" style="350" customWidth="1"/>
    <col min="8" max="9" width="6.7109375" style="350" customWidth="1"/>
    <col min="10" max="10" width="7" style="350" customWidth="1"/>
    <col min="11" max="11" width="8" style="350" customWidth="1"/>
    <col min="12" max="16" width="6.7109375" style="350" customWidth="1"/>
    <col min="17" max="17" width="8.7109375" style="350" customWidth="1"/>
    <col min="18" max="18" width="7.28515625" style="350" customWidth="1"/>
    <col min="19" max="19" width="8" style="350" customWidth="1"/>
    <col min="20" max="20" width="7.42578125" style="350" customWidth="1"/>
    <col min="21" max="21" width="7.7109375" style="350" customWidth="1"/>
    <col min="22" max="23" width="7.42578125" style="350" customWidth="1"/>
    <col min="24" max="24" width="8" style="350" customWidth="1"/>
    <col min="25" max="25" width="12.85546875" style="35" customWidth="1"/>
    <col min="26" max="26" width="13.140625" style="35" customWidth="1"/>
    <col min="27" max="27" width="15" style="1" customWidth="1"/>
    <col min="28" max="28" width="11.42578125" style="1" customWidth="1"/>
    <col min="29" max="16384" width="9.140625" style="1"/>
  </cols>
  <sheetData>
    <row r="1" spans="1:26" ht="30" customHeight="1">
      <c r="A1" s="467" t="s">
        <v>34</v>
      </c>
      <c r="B1" s="467"/>
      <c r="C1" s="467"/>
      <c r="D1" s="7"/>
      <c r="E1" s="5"/>
      <c r="F1" s="349"/>
      <c r="G1" s="349"/>
      <c r="H1" s="349"/>
      <c r="I1" s="349"/>
      <c r="J1" s="349"/>
      <c r="K1" s="349"/>
      <c r="L1" s="349"/>
      <c r="M1" s="349"/>
      <c r="N1" s="349"/>
      <c r="O1" s="349"/>
      <c r="P1" s="349"/>
      <c r="Q1" s="349"/>
      <c r="R1" s="349"/>
      <c r="S1" s="349"/>
      <c r="T1" s="349"/>
      <c r="U1" s="349"/>
      <c r="V1" s="349"/>
      <c r="W1" s="349"/>
      <c r="X1" s="349"/>
      <c r="Y1" s="462" t="s">
        <v>748</v>
      </c>
      <c r="Z1" s="462"/>
    </row>
    <row r="2" spans="1:26" ht="19.899999999999999" customHeight="1">
      <c r="A2" s="468" t="s">
        <v>35</v>
      </c>
      <c r="B2" s="468"/>
      <c r="C2" s="468"/>
      <c r="D2" s="7"/>
      <c r="E2" s="5"/>
      <c r="F2" s="349"/>
      <c r="G2" s="349"/>
      <c r="H2" s="349"/>
      <c r="I2" s="349"/>
      <c r="J2" s="349"/>
      <c r="K2" s="349"/>
      <c r="L2" s="349"/>
      <c r="M2" s="349"/>
      <c r="N2" s="349"/>
      <c r="O2" s="349"/>
      <c r="P2" s="349"/>
      <c r="Q2" s="349"/>
      <c r="R2" s="349"/>
      <c r="S2" s="349"/>
      <c r="T2" s="349"/>
      <c r="U2" s="349"/>
      <c r="V2" s="349"/>
      <c r="W2" s="349"/>
      <c r="X2" s="349"/>
      <c r="Y2" s="28"/>
      <c r="Z2" s="28"/>
    </row>
    <row r="3" spans="1:26" ht="39.75" customHeight="1">
      <c r="A3" s="452" t="s">
        <v>749</v>
      </c>
      <c r="B3" s="452"/>
      <c r="C3" s="452"/>
      <c r="D3" s="452"/>
      <c r="E3" s="452"/>
      <c r="F3" s="452"/>
      <c r="G3" s="452"/>
      <c r="H3" s="452"/>
      <c r="I3" s="452"/>
      <c r="J3" s="452"/>
      <c r="K3" s="452"/>
      <c r="L3" s="452"/>
      <c r="M3" s="452"/>
      <c r="N3" s="452"/>
      <c r="O3" s="452"/>
      <c r="P3" s="452"/>
      <c r="Q3" s="452"/>
      <c r="R3" s="452"/>
      <c r="S3" s="452"/>
      <c r="T3" s="452"/>
      <c r="U3" s="452"/>
      <c r="V3" s="452"/>
      <c r="W3" s="452"/>
      <c r="X3" s="452"/>
      <c r="Y3" s="452"/>
      <c r="Z3" s="452"/>
    </row>
    <row r="4" spans="1:26" ht="21.75" customHeight="1">
      <c r="A4" s="453" t="s">
        <v>750</v>
      </c>
      <c r="B4" s="453"/>
      <c r="C4" s="453"/>
      <c r="D4" s="453"/>
      <c r="E4" s="453"/>
      <c r="F4" s="453"/>
      <c r="G4" s="453"/>
      <c r="H4" s="453"/>
      <c r="I4" s="453"/>
      <c r="J4" s="453"/>
      <c r="K4" s="453"/>
      <c r="L4" s="453"/>
      <c r="M4" s="453"/>
      <c r="N4" s="453"/>
      <c r="O4" s="453"/>
      <c r="P4" s="453"/>
      <c r="Q4" s="453"/>
      <c r="R4" s="453"/>
      <c r="S4" s="453"/>
      <c r="T4" s="453"/>
      <c r="U4" s="453"/>
      <c r="V4" s="453"/>
      <c r="W4" s="453"/>
      <c r="X4" s="453"/>
      <c r="Y4" s="453"/>
      <c r="Z4" s="453"/>
    </row>
    <row r="5" spans="1:26" ht="37.5" customHeight="1">
      <c r="Z5" s="180" t="s">
        <v>41</v>
      </c>
    </row>
    <row r="6" spans="1:26" s="10" customFormat="1" ht="26.25" customHeight="1">
      <c r="A6" s="464" t="s">
        <v>5</v>
      </c>
      <c r="B6" s="465" t="s">
        <v>0</v>
      </c>
      <c r="C6" s="466" t="s">
        <v>656</v>
      </c>
      <c r="D6" s="459" t="s">
        <v>657</v>
      </c>
      <c r="E6" s="463" t="s">
        <v>31</v>
      </c>
      <c r="F6" s="463"/>
      <c r="G6" s="463"/>
      <c r="H6" s="463"/>
      <c r="I6" s="463"/>
      <c r="J6" s="463"/>
      <c r="K6" s="463"/>
      <c r="L6" s="463"/>
      <c r="M6" s="463"/>
      <c r="N6" s="463"/>
      <c r="O6" s="463"/>
      <c r="P6" s="463"/>
      <c r="Q6" s="463"/>
      <c r="R6" s="463"/>
      <c r="S6" s="463"/>
      <c r="T6" s="463"/>
      <c r="U6" s="463"/>
      <c r="V6" s="463"/>
      <c r="W6" s="463"/>
      <c r="X6" s="463"/>
      <c r="Y6" s="455" t="s">
        <v>658</v>
      </c>
      <c r="Z6" s="463" t="s">
        <v>659</v>
      </c>
    </row>
    <row r="7" spans="1:26" s="10" customFormat="1" ht="25.5" customHeight="1">
      <c r="A7" s="464"/>
      <c r="B7" s="465"/>
      <c r="C7" s="466"/>
      <c r="D7" s="460"/>
      <c r="E7" s="463" t="s">
        <v>9</v>
      </c>
      <c r="F7" s="454" t="s">
        <v>30</v>
      </c>
      <c r="G7" s="454" t="s">
        <v>24</v>
      </c>
      <c r="H7" s="458" t="s">
        <v>1</v>
      </c>
      <c r="I7" s="458"/>
      <c r="J7" s="458"/>
      <c r="K7" s="458"/>
      <c r="L7" s="458"/>
      <c r="M7" s="458"/>
      <c r="N7" s="458"/>
      <c r="O7" s="458"/>
      <c r="P7" s="458"/>
      <c r="Q7" s="458"/>
      <c r="R7" s="458"/>
      <c r="S7" s="458"/>
      <c r="T7" s="458"/>
      <c r="U7" s="458"/>
      <c r="V7" s="458"/>
      <c r="W7" s="458"/>
      <c r="X7" s="454" t="s">
        <v>23</v>
      </c>
      <c r="Y7" s="456"/>
      <c r="Z7" s="463"/>
    </row>
    <row r="8" spans="1:26" s="10" customFormat="1" ht="99.75" customHeight="1">
      <c r="A8" s="464"/>
      <c r="B8" s="465"/>
      <c r="C8" s="466"/>
      <c r="D8" s="461"/>
      <c r="E8" s="463"/>
      <c r="F8" s="454"/>
      <c r="G8" s="454"/>
      <c r="H8" s="54" t="s">
        <v>14</v>
      </c>
      <c r="I8" s="54" t="s">
        <v>10</v>
      </c>
      <c r="J8" s="54" t="s">
        <v>11</v>
      </c>
      <c r="K8" s="54" t="s">
        <v>25</v>
      </c>
      <c r="L8" s="54" t="s">
        <v>28</v>
      </c>
      <c r="M8" s="54" t="s">
        <v>26</v>
      </c>
      <c r="N8" s="54" t="s">
        <v>202</v>
      </c>
      <c r="O8" s="54" t="s">
        <v>29</v>
      </c>
      <c r="P8" s="54" t="s">
        <v>27</v>
      </c>
      <c r="Q8" s="54" t="s">
        <v>15</v>
      </c>
      <c r="R8" s="54" t="s">
        <v>16</v>
      </c>
      <c r="S8" s="54" t="s">
        <v>17</v>
      </c>
      <c r="T8" s="54" t="s">
        <v>13</v>
      </c>
      <c r="U8" s="54" t="s">
        <v>18</v>
      </c>
      <c r="V8" s="54" t="s">
        <v>19</v>
      </c>
      <c r="W8" s="54" t="s">
        <v>33</v>
      </c>
      <c r="X8" s="454"/>
      <c r="Y8" s="457"/>
      <c r="Z8" s="463"/>
    </row>
    <row r="9" spans="1:26" s="11" customFormat="1" ht="31.5" customHeight="1">
      <c r="A9" s="181">
        <v>1</v>
      </c>
      <c r="B9" s="64">
        <v>2</v>
      </c>
      <c r="C9" s="182" t="s">
        <v>21</v>
      </c>
      <c r="D9" s="181">
        <v>4</v>
      </c>
      <c r="E9" s="181" t="s">
        <v>544</v>
      </c>
      <c r="F9" s="351">
        <v>6</v>
      </c>
      <c r="G9" s="352" t="s">
        <v>32</v>
      </c>
      <c r="H9" s="352">
        <v>8</v>
      </c>
      <c r="I9" s="351">
        <v>9</v>
      </c>
      <c r="J9" s="352">
        <v>10</v>
      </c>
      <c r="K9" s="351">
        <v>12</v>
      </c>
      <c r="L9" s="352">
        <v>13</v>
      </c>
      <c r="M9" s="352">
        <v>14</v>
      </c>
      <c r="N9" s="351">
        <v>15</v>
      </c>
      <c r="O9" s="352">
        <v>16</v>
      </c>
      <c r="P9" s="352">
        <v>17</v>
      </c>
      <c r="Q9" s="351">
        <v>18</v>
      </c>
      <c r="R9" s="352">
        <v>19</v>
      </c>
      <c r="S9" s="352">
        <v>20</v>
      </c>
      <c r="T9" s="351">
        <v>21</v>
      </c>
      <c r="U9" s="352">
        <v>22</v>
      </c>
      <c r="V9" s="352">
        <v>23</v>
      </c>
      <c r="W9" s="351">
        <v>24</v>
      </c>
      <c r="X9" s="352">
        <v>25</v>
      </c>
      <c r="Y9" s="183" t="s">
        <v>660</v>
      </c>
      <c r="Z9" s="181" t="s">
        <v>661</v>
      </c>
    </row>
    <row r="10" spans="1:26" s="36" customFormat="1" ht="27.95" customHeight="1">
      <c r="A10" s="4"/>
      <c r="B10" s="20" t="s">
        <v>715</v>
      </c>
      <c r="C10" s="30">
        <f t="shared" ref="C10:Z10" si="0">C11+C89+C238+C281+C343</f>
        <v>1139</v>
      </c>
      <c r="D10" s="30">
        <f t="shared" si="0"/>
        <v>1075</v>
      </c>
      <c r="E10" s="41">
        <f t="shared" si="0"/>
        <v>6884.6283883999995</v>
      </c>
      <c r="F10" s="41">
        <f t="shared" si="0"/>
        <v>3703.46</v>
      </c>
      <c r="G10" s="41">
        <f t="shared" si="0"/>
        <v>2287.5762599999998</v>
      </c>
      <c r="H10" s="41">
        <f t="shared" si="0"/>
        <v>34.5</v>
      </c>
      <c r="I10" s="41">
        <f t="shared" si="0"/>
        <v>79.399999999999991</v>
      </c>
      <c r="J10" s="41">
        <f t="shared" si="0"/>
        <v>4.9637000000000002</v>
      </c>
      <c r="K10" s="41">
        <f t="shared" si="0"/>
        <v>334.25273999999996</v>
      </c>
      <c r="L10" s="41">
        <f t="shared" si="0"/>
        <v>21.385600000000004</v>
      </c>
      <c r="M10" s="41">
        <f t="shared" si="0"/>
        <v>0</v>
      </c>
      <c r="N10" s="41">
        <f t="shared" si="0"/>
        <v>46.7</v>
      </c>
      <c r="O10" s="41">
        <f t="shared" si="0"/>
        <v>71.09999999999998</v>
      </c>
      <c r="P10" s="41">
        <f t="shared" si="0"/>
        <v>3.8</v>
      </c>
      <c r="Q10" s="41">
        <f t="shared" si="0"/>
        <v>1006.4333900000001</v>
      </c>
      <c r="R10" s="41">
        <f t="shared" si="0"/>
        <v>80.717000000000013</v>
      </c>
      <c r="S10" s="41">
        <f t="shared" si="0"/>
        <v>128.5</v>
      </c>
      <c r="T10" s="41">
        <f t="shared" si="0"/>
        <v>201.07825</v>
      </c>
      <c r="U10" s="41">
        <f t="shared" si="0"/>
        <v>52.955579999999998</v>
      </c>
      <c r="V10" s="41">
        <f t="shared" si="0"/>
        <v>40.79</v>
      </c>
      <c r="W10" s="41">
        <f t="shared" si="0"/>
        <v>181.00000000000003</v>
      </c>
      <c r="X10" s="41">
        <f t="shared" si="0"/>
        <v>893.59212840000009</v>
      </c>
      <c r="Y10" s="30">
        <f t="shared" si="0"/>
        <v>688462838.84000003</v>
      </c>
      <c r="Z10" s="30">
        <f t="shared" si="0"/>
        <v>4129741583.0400004</v>
      </c>
    </row>
    <row r="11" spans="1:26" s="36" customFormat="1" ht="27.95" customHeight="1">
      <c r="A11" s="4" t="s">
        <v>6</v>
      </c>
      <c r="B11" s="20" t="s">
        <v>245</v>
      </c>
      <c r="C11" s="30">
        <f>C12+C19+C25+C33+C39+C45+C50+C57+C64+C70+C77</f>
        <v>67</v>
      </c>
      <c r="D11" s="30">
        <f>D12+D19+D25+D33+D39+D45+D50+D57+D64+D70+D77</f>
        <v>53</v>
      </c>
      <c r="E11" s="41">
        <f>E12+E19+E25+E33+E39+E45+E50+E57+E64+E70+E77</f>
        <v>289.34382499999998</v>
      </c>
      <c r="F11" s="41">
        <f>F12+F19+F25+F33+F39+F45+F50+F57+F64+F70+F77</f>
        <v>172.76999999999998</v>
      </c>
      <c r="G11" s="41">
        <f t="shared" ref="G11:X11" si="1">G12+G19+G25+G33+G39+G45+G50+G57+G64+G70+G77</f>
        <v>76.522250000000014</v>
      </c>
      <c r="H11" s="41">
        <f t="shared" si="1"/>
        <v>0</v>
      </c>
      <c r="I11" s="41">
        <f t="shared" si="1"/>
        <v>4.5</v>
      </c>
      <c r="J11" s="41">
        <f t="shared" si="1"/>
        <v>0.29899999999999999</v>
      </c>
      <c r="K11" s="41">
        <f t="shared" si="1"/>
        <v>0.438</v>
      </c>
      <c r="L11" s="41">
        <f t="shared" si="1"/>
        <v>0</v>
      </c>
      <c r="M11" s="41">
        <f t="shared" si="1"/>
        <v>0</v>
      </c>
      <c r="N11" s="41">
        <f t="shared" si="1"/>
        <v>0.89999999999999991</v>
      </c>
      <c r="O11" s="41">
        <f t="shared" si="1"/>
        <v>0</v>
      </c>
      <c r="P11" s="41">
        <f t="shared" si="1"/>
        <v>0</v>
      </c>
      <c r="Q11" s="41">
        <f t="shared" si="1"/>
        <v>2.9530000000000003</v>
      </c>
      <c r="R11" s="41">
        <f t="shared" si="1"/>
        <v>0</v>
      </c>
      <c r="S11" s="41">
        <f t="shared" si="1"/>
        <v>0</v>
      </c>
      <c r="T11" s="41">
        <f t="shared" si="1"/>
        <v>44.39224999999999</v>
      </c>
      <c r="U11" s="41">
        <f t="shared" si="1"/>
        <v>0</v>
      </c>
      <c r="V11" s="41">
        <f t="shared" si="1"/>
        <v>23.040000000000003</v>
      </c>
      <c r="W11" s="41">
        <f t="shared" si="1"/>
        <v>0</v>
      </c>
      <c r="X11" s="41">
        <f t="shared" si="1"/>
        <v>40.051575</v>
      </c>
      <c r="Y11" s="30">
        <f>Y12+Y19+Y25+Y33+Y39+Y45+Y50+Y57+Y64+Y70+Y77</f>
        <v>28934382.5</v>
      </c>
      <c r="Z11" s="30">
        <f>Z12+Z19+Z25+Z33+Z39+Z45+Z50+Z57+Z64+Z70+Z77</f>
        <v>172570845</v>
      </c>
    </row>
    <row r="12" spans="1:26" s="36" customFormat="1" ht="27.95" customHeight="1">
      <c r="A12" s="4" t="s">
        <v>2</v>
      </c>
      <c r="B12" s="20" t="s">
        <v>39</v>
      </c>
      <c r="C12" s="30">
        <v>8</v>
      </c>
      <c r="D12" s="30">
        <v>6</v>
      </c>
      <c r="E12" s="29">
        <f>SUM(E13:E18)</f>
        <v>28.216750000000001</v>
      </c>
      <c r="F12" s="41">
        <f t="shared" ref="F12:Z12" si="2">SUM(F13:F18)</f>
        <v>18.329999999999998</v>
      </c>
      <c r="G12" s="41">
        <f t="shared" si="2"/>
        <v>5.5824999999999996</v>
      </c>
      <c r="H12" s="41">
        <f t="shared" si="2"/>
        <v>0</v>
      </c>
      <c r="I12" s="41">
        <f t="shared" si="2"/>
        <v>0.8</v>
      </c>
      <c r="J12" s="41">
        <f t="shared" si="2"/>
        <v>0</v>
      </c>
      <c r="K12" s="41">
        <f t="shared" si="2"/>
        <v>0</v>
      </c>
      <c r="L12" s="41">
        <f t="shared" si="2"/>
        <v>0</v>
      </c>
      <c r="M12" s="41">
        <f t="shared" si="2"/>
        <v>0</v>
      </c>
      <c r="N12" s="41">
        <f t="shared" si="2"/>
        <v>0</v>
      </c>
      <c r="O12" s="41">
        <f t="shared" si="2"/>
        <v>0</v>
      </c>
      <c r="P12" s="41">
        <f t="shared" si="2"/>
        <v>0</v>
      </c>
      <c r="Q12" s="41">
        <f t="shared" si="2"/>
        <v>0</v>
      </c>
      <c r="R12" s="41">
        <f t="shared" si="2"/>
        <v>0</v>
      </c>
      <c r="S12" s="41">
        <f t="shared" si="2"/>
        <v>0</v>
      </c>
      <c r="T12" s="41">
        <f t="shared" si="2"/>
        <v>4.7824999999999998</v>
      </c>
      <c r="U12" s="41">
        <f t="shared" si="2"/>
        <v>0</v>
      </c>
      <c r="V12" s="41">
        <f t="shared" si="2"/>
        <v>0</v>
      </c>
      <c r="W12" s="41">
        <f t="shared" si="2"/>
        <v>0</v>
      </c>
      <c r="X12" s="41">
        <f t="shared" si="2"/>
        <v>4.3042499999999997</v>
      </c>
      <c r="Y12" s="30">
        <f t="shared" si="2"/>
        <v>2821675</v>
      </c>
      <c r="Z12" s="30">
        <f t="shared" si="2"/>
        <v>16930050</v>
      </c>
    </row>
    <row r="13" spans="1:26" s="10" customFormat="1" ht="27.95" customHeight="1">
      <c r="A13" s="184">
        <v>1</v>
      </c>
      <c r="B13" s="14" t="s">
        <v>40</v>
      </c>
      <c r="C13" s="32"/>
      <c r="D13" s="32"/>
      <c r="E13" s="37">
        <f t="shared" ref="E13:E18" si="3">+F13+G13+X13</f>
        <v>5.8557500000000005</v>
      </c>
      <c r="F13" s="39">
        <v>3.67</v>
      </c>
      <c r="G13" s="353">
        <f t="shared" ref="G13:G18" si="4">+SUM(H13:W13)</f>
        <v>1.2925</v>
      </c>
      <c r="H13" s="39"/>
      <c r="I13" s="39">
        <v>0.3</v>
      </c>
      <c r="J13" s="39"/>
      <c r="K13" s="39"/>
      <c r="L13" s="39"/>
      <c r="M13" s="39"/>
      <c r="N13" s="39"/>
      <c r="O13" s="39"/>
      <c r="P13" s="39"/>
      <c r="Q13" s="39"/>
      <c r="R13" s="39"/>
      <c r="S13" s="39"/>
      <c r="T13" s="39">
        <f>(F13+I13+J13)*25/100</f>
        <v>0.99250000000000005</v>
      </c>
      <c r="U13" s="39"/>
      <c r="V13" s="39"/>
      <c r="W13" s="39"/>
      <c r="X13" s="39">
        <f t="shared" ref="X13:X18" si="5">(F13+I13+J13+K13)*22.5/100</f>
        <v>0.89324999999999988</v>
      </c>
      <c r="Y13" s="32">
        <f t="shared" ref="Y13:Y18" si="6">E13*100000</f>
        <v>585575</v>
      </c>
      <c r="Z13" s="32">
        <f>Y13*6</f>
        <v>3513450</v>
      </c>
    </row>
    <row r="14" spans="1:26" s="38" customFormat="1" ht="27.95" customHeight="1">
      <c r="A14" s="184">
        <v>2</v>
      </c>
      <c r="B14" s="14" t="s">
        <v>42</v>
      </c>
      <c r="C14" s="32"/>
      <c r="D14" s="32"/>
      <c r="E14" s="37">
        <f t="shared" si="3"/>
        <v>4.72</v>
      </c>
      <c r="F14" s="39">
        <v>3</v>
      </c>
      <c r="G14" s="353">
        <f t="shared" si="4"/>
        <v>1</v>
      </c>
      <c r="H14" s="39"/>
      <c r="I14" s="39">
        <v>0.2</v>
      </c>
      <c r="J14" s="39"/>
      <c r="K14" s="39"/>
      <c r="L14" s="39"/>
      <c r="M14" s="39"/>
      <c r="N14" s="39"/>
      <c r="O14" s="39"/>
      <c r="P14" s="39"/>
      <c r="Q14" s="39"/>
      <c r="R14" s="39"/>
      <c r="S14" s="39"/>
      <c r="T14" s="39">
        <f t="shared" ref="T14:T24" si="7">(F14+I14+J14)*25/100</f>
        <v>0.8</v>
      </c>
      <c r="U14" s="39"/>
      <c r="V14" s="39"/>
      <c r="W14" s="39"/>
      <c r="X14" s="39">
        <f t="shared" si="5"/>
        <v>0.72</v>
      </c>
      <c r="Y14" s="32">
        <f t="shared" si="6"/>
        <v>472000</v>
      </c>
      <c r="Z14" s="32">
        <f t="shared" ref="Z14:Z76" si="8">Y14*6</f>
        <v>2832000</v>
      </c>
    </row>
    <row r="15" spans="1:26" s="10" customFormat="1" ht="27.95" customHeight="1">
      <c r="A15" s="185">
        <v>3</v>
      </c>
      <c r="B15" s="14" t="s">
        <v>43</v>
      </c>
      <c r="C15" s="31"/>
      <c r="D15" s="31"/>
      <c r="E15" s="37">
        <f t="shared" si="3"/>
        <v>4.4249999999999998</v>
      </c>
      <c r="F15" s="43">
        <v>3</v>
      </c>
      <c r="G15" s="353">
        <f t="shared" si="4"/>
        <v>0.75</v>
      </c>
      <c r="H15" s="354"/>
      <c r="I15" s="355"/>
      <c r="J15" s="354"/>
      <c r="K15" s="354"/>
      <c r="L15" s="354"/>
      <c r="M15" s="354"/>
      <c r="N15" s="354"/>
      <c r="O15" s="354"/>
      <c r="P15" s="354"/>
      <c r="Q15" s="354"/>
      <c r="R15" s="353"/>
      <c r="S15" s="354"/>
      <c r="T15" s="39">
        <f t="shared" si="7"/>
        <v>0.75</v>
      </c>
      <c r="U15" s="353"/>
      <c r="V15" s="353"/>
      <c r="W15" s="353"/>
      <c r="X15" s="39">
        <f t="shared" si="5"/>
        <v>0.67500000000000004</v>
      </c>
      <c r="Y15" s="32">
        <f t="shared" si="6"/>
        <v>442500</v>
      </c>
      <c r="Z15" s="32">
        <f t="shared" si="8"/>
        <v>2655000</v>
      </c>
    </row>
    <row r="16" spans="1:26" s="10" customFormat="1" ht="27.95" customHeight="1">
      <c r="A16" s="185">
        <v>4</v>
      </c>
      <c r="B16" s="14" t="s">
        <v>662</v>
      </c>
      <c r="C16" s="31"/>
      <c r="D16" s="31"/>
      <c r="E16" s="37">
        <f t="shared" si="3"/>
        <v>3.9235000000000002</v>
      </c>
      <c r="F16" s="43">
        <v>2.66</v>
      </c>
      <c r="G16" s="353">
        <f t="shared" si="4"/>
        <v>0.66500000000000004</v>
      </c>
      <c r="H16" s="354"/>
      <c r="I16" s="355"/>
      <c r="J16" s="354"/>
      <c r="K16" s="354"/>
      <c r="L16" s="354"/>
      <c r="M16" s="354"/>
      <c r="N16" s="354"/>
      <c r="O16" s="354"/>
      <c r="P16" s="354"/>
      <c r="Q16" s="354"/>
      <c r="R16" s="353"/>
      <c r="S16" s="354"/>
      <c r="T16" s="39">
        <f t="shared" si="7"/>
        <v>0.66500000000000004</v>
      </c>
      <c r="U16" s="353"/>
      <c r="V16" s="353"/>
      <c r="W16" s="353"/>
      <c r="X16" s="39">
        <f t="shared" si="5"/>
        <v>0.59850000000000003</v>
      </c>
      <c r="Y16" s="32">
        <f t="shared" si="6"/>
        <v>392350</v>
      </c>
      <c r="Z16" s="32">
        <f t="shared" si="8"/>
        <v>2354100</v>
      </c>
    </row>
    <row r="17" spans="1:26" s="10" customFormat="1" ht="27.95" customHeight="1">
      <c r="A17" s="185">
        <v>5</v>
      </c>
      <c r="B17" s="14" t="s">
        <v>44</v>
      </c>
      <c r="C17" s="31"/>
      <c r="D17" s="31"/>
      <c r="E17" s="37">
        <f t="shared" si="3"/>
        <v>3.93825</v>
      </c>
      <c r="F17" s="43">
        <v>2.67</v>
      </c>
      <c r="G17" s="353">
        <f t="shared" si="4"/>
        <v>0.66749999999999998</v>
      </c>
      <c r="H17" s="354"/>
      <c r="I17" s="355"/>
      <c r="J17" s="354"/>
      <c r="K17" s="354"/>
      <c r="L17" s="354"/>
      <c r="M17" s="354"/>
      <c r="N17" s="354"/>
      <c r="O17" s="354"/>
      <c r="P17" s="354"/>
      <c r="Q17" s="354"/>
      <c r="R17" s="353"/>
      <c r="S17" s="354"/>
      <c r="T17" s="39">
        <f t="shared" si="7"/>
        <v>0.66749999999999998</v>
      </c>
      <c r="U17" s="353"/>
      <c r="V17" s="353"/>
      <c r="W17" s="353"/>
      <c r="X17" s="39">
        <f t="shared" si="5"/>
        <v>0.60075000000000001</v>
      </c>
      <c r="Y17" s="32">
        <f t="shared" si="6"/>
        <v>393825</v>
      </c>
      <c r="Z17" s="32">
        <f t="shared" si="8"/>
        <v>2362950</v>
      </c>
    </row>
    <row r="18" spans="1:26" s="10" customFormat="1" ht="27.95" customHeight="1">
      <c r="A18" s="185">
        <v>6</v>
      </c>
      <c r="B18" s="14" t="s">
        <v>663</v>
      </c>
      <c r="C18" s="31"/>
      <c r="D18" s="31"/>
      <c r="E18" s="37">
        <f t="shared" si="3"/>
        <v>5.3542499999999995</v>
      </c>
      <c r="F18" s="43">
        <v>3.33</v>
      </c>
      <c r="G18" s="353">
        <f t="shared" si="4"/>
        <v>1.2075</v>
      </c>
      <c r="H18" s="354"/>
      <c r="I18" s="355">
        <v>0.3</v>
      </c>
      <c r="J18" s="354"/>
      <c r="K18" s="354"/>
      <c r="L18" s="354"/>
      <c r="M18" s="354"/>
      <c r="N18" s="354"/>
      <c r="O18" s="354"/>
      <c r="P18" s="354"/>
      <c r="Q18" s="354"/>
      <c r="R18" s="353"/>
      <c r="S18" s="354"/>
      <c r="T18" s="39">
        <f>(F18+I18+J18)*25/100</f>
        <v>0.90749999999999997</v>
      </c>
      <c r="U18" s="353"/>
      <c r="V18" s="353"/>
      <c r="W18" s="353"/>
      <c r="X18" s="39">
        <f t="shared" si="5"/>
        <v>0.81674999999999998</v>
      </c>
      <c r="Y18" s="32">
        <f t="shared" si="6"/>
        <v>535425</v>
      </c>
      <c r="Z18" s="32">
        <f t="shared" si="8"/>
        <v>3212550</v>
      </c>
    </row>
    <row r="19" spans="1:26" s="10" customFormat="1" ht="27.95" customHeight="1">
      <c r="A19" s="186" t="s">
        <v>3</v>
      </c>
      <c r="B19" s="59" t="s">
        <v>45</v>
      </c>
      <c r="C19" s="33">
        <v>6</v>
      </c>
      <c r="D19" s="33">
        <v>5</v>
      </c>
      <c r="E19" s="29">
        <f t="shared" ref="E19:Z19" si="9">SUM(E20:E24)</f>
        <v>29.271075</v>
      </c>
      <c r="F19" s="41">
        <f t="shared" si="9"/>
        <v>16.98</v>
      </c>
      <c r="G19" s="41">
        <f t="shared" si="9"/>
        <v>8.2597500000000004</v>
      </c>
      <c r="H19" s="41">
        <f t="shared" si="9"/>
        <v>0</v>
      </c>
      <c r="I19" s="41">
        <f t="shared" si="9"/>
        <v>0.2</v>
      </c>
      <c r="J19" s="41">
        <f t="shared" si="9"/>
        <v>0.29899999999999999</v>
      </c>
      <c r="K19" s="41">
        <f t="shared" si="9"/>
        <v>0.438</v>
      </c>
      <c r="L19" s="41">
        <f t="shared" si="9"/>
        <v>0</v>
      </c>
      <c r="M19" s="41">
        <f t="shared" si="9"/>
        <v>0</v>
      </c>
      <c r="N19" s="41">
        <f t="shared" si="9"/>
        <v>0</v>
      </c>
      <c r="O19" s="41">
        <f t="shared" si="9"/>
        <v>0</v>
      </c>
      <c r="P19" s="41">
        <f t="shared" si="9"/>
        <v>0</v>
      </c>
      <c r="Q19" s="41">
        <f t="shared" si="9"/>
        <v>2.9530000000000003</v>
      </c>
      <c r="R19" s="41">
        <f t="shared" si="9"/>
        <v>0</v>
      </c>
      <c r="S19" s="41">
        <f t="shared" si="9"/>
        <v>0</v>
      </c>
      <c r="T19" s="41">
        <f t="shared" si="9"/>
        <v>4.3697499999999998</v>
      </c>
      <c r="U19" s="41">
        <f t="shared" si="9"/>
        <v>0</v>
      </c>
      <c r="V19" s="41">
        <f t="shared" si="9"/>
        <v>0</v>
      </c>
      <c r="W19" s="41">
        <f t="shared" si="9"/>
        <v>0</v>
      </c>
      <c r="X19" s="41">
        <f t="shared" si="9"/>
        <v>4.0313250000000007</v>
      </c>
      <c r="Y19" s="30">
        <f t="shared" si="9"/>
        <v>2927107.5</v>
      </c>
      <c r="Z19" s="30">
        <f t="shared" si="9"/>
        <v>16527195</v>
      </c>
    </row>
    <row r="20" spans="1:26" s="10" customFormat="1" ht="27.95" customHeight="1">
      <c r="A20" s="184">
        <v>1</v>
      </c>
      <c r="B20" s="12" t="s">
        <v>47</v>
      </c>
      <c r="C20" s="32"/>
      <c r="D20" s="32"/>
      <c r="E20" s="37">
        <f>+F20+G20+X20</f>
        <v>9.9880750000000003</v>
      </c>
      <c r="F20" s="43">
        <v>4.9800000000000004</v>
      </c>
      <c r="G20" s="353">
        <f>+SUM(H20:W20)</f>
        <v>3.6767500000000006</v>
      </c>
      <c r="H20" s="39"/>
      <c r="I20" s="39">
        <v>0.2</v>
      </c>
      <c r="J20" s="39">
        <v>0.29899999999999999</v>
      </c>
      <c r="K20" s="39">
        <v>0.438</v>
      </c>
      <c r="L20" s="39"/>
      <c r="M20" s="39"/>
      <c r="N20" s="39"/>
      <c r="O20" s="39"/>
      <c r="P20" s="39"/>
      <c r="Q20" s="39">
        <v>1.37</v>
      </c>
      <c r="R20" s="39"/>
      <c r="S20" s="39"/>
      <c r="T20" s="39">
        <f t="shared" si="7"/>
        <v>1.3697500000000002</v>
      </c>
      <c r="U20" s="39"/>
      <c r="V20" s="39"/>
      <c r="W20" s="39"/>
      <c r="X20" s="39">
        <f>(F20+I20+J20+K20)*22.5/100</f>
        <v>1.3313250000000003</v>
      </c>
      <c r="Y20" s="32">
        <f>E20*100000</f>
        <v>998807.5</v>
      </c>
      <c r="Z20" s="32">
        <f t="shared" si="8"/>
        <v>5992845</v>
      </c>
    </row>
    <row r="21" spans="1:26" s="10" customFormat="1" ht="27.95" customHeight="1">
      <c r="A21" s="184">
        <v>2</v>
      </c>
      <c r="B21" s="12" t="s">
        <v>48</v>
      </c>
      <c r="C21" s="32"/>
      <c r="D21" s="32"/>
      <c r="E21" s="37">
        <f>+F21+G21+X21</f>
        <v>5.1749999999999998</v>
      </c>
      <c r="F21" s="43">
        <v>3</v>
      </c>
      <c r="G21" s="353">
        <f>+SUM(H21:W21)</f>
        <v>1.5</v>
      </c>
      <c r="H21" s="39"/>
      <c r="I21" s="39"/>
      <c r="J21" s="39"/>
      <c r="K21" s="39"/>
      <c r="L21" s="39"/>
      <c r="M21" s="39"/>
      <c r="N21" s="39"/>
      <c r="O21" s="39"/>
      <c r="P21" s="39"/>
      <c r="Q21" s="39">
        <v>0.75</v>
      </c>
      <c r="R21" s="39"/>
      <c r="S21" s="39"/>
      <c r="T21" s="39">
        <f>(F21+I21+J21)*25/100</f>
        <v>0.75</v>
      </c>
      <c r="U21" s="39"/>
      <c r="V21" s="39"/>
      <c r="W21" s="39"/>
      <c r="X21" s="39">
        <f>(F21+I21+J21+K21)*22.5/100</f>
        <v>0.67500000000000004</v>
      </c>
      <c r="Y21" s="32">
        <f>E21*100000</f>
        <v>517500</v>
      </c>
      <c r="Z21" s="32">
        <f t="shared" si="8"/>
        <v>3105000</v>
      </c>
    </row>
    <row r="22" spans="1:26" s="10" customFormat="1" ht="27.95" customHeight="1">
      <c r="A22" s="184">
        <v>3</v>
      </c>
      <c r="B22" s="12" t="s">
        <v>49</v>
      </c>
      <c r="C22" s="32"/>
      <c r="D22" s="32"/>
      <c r="E22" s="37">
        <f>+F22+G22+X22</f>
        <v>5.7447499999999998</v>
      </c>
      <c r="F22" s="43">
        <v>3.33</v>
      </c>
      <c r="G22" s="353">
        <f>+SUM(H22:W22)</f>
        <v>1.6655</v>
      </c>
      <c r="H22" s="39"/>
      <c r="I22" s="39"/>
      <c r="J22" s="39"/>
      <c r="K22" s="39"/>
      <c r="L22" s="39"/>
      <c r="M22" s="39"/>
      <c r="N22" s="39"/>
      <c r="O22" s="39"/>
      <c r="P22" s="39"/>
      <c r="Q22" s="356">
        <v>0.83299999999999996</v>
      </c>
      <c r="R22" s="39"/>
      <c r="S22" s="39"/>
      <c r="T22" s="39">
        <f>(F22+I22+J22)*25/100</f>
        <v>0.83250000000000002</v>
      </c>
      <c r="U22" s="39"/>
      <c r="V22" s="39"/>
      <c r="W22" s="39"/>
      <c r="X22" s="39">
        <f>(F22+I22+J22+K22)*22.5/100</f>
        <v>0.74924999999999997</v>
      </c>
      <c r="Y22" s="32">
        <f>E22*100000</f>
        <v>574475</v>
      </c>
      <c r="Z22" s="32">
        <f t="shared" si="8"/>
        <v>3446850</v>
      </c>
    </row>
    <row r="23" spans="1:26" s="10" customFormat="1" ht="27.95" customHeight="1">
      <c r="A23" s="184">
        <v>4</v>
      </c>
      <c r="B23" s="12" t="s">
        <v>50</v>
      </c>
      <c r="C23" s="32"/>
      <c r="D23" s="32"/>
      <c r="E23" s="37">
        <f>+F23+G23+X23</f>
        <v>4.9117499999999996</v>
      </c>
      <c r="F23" s="43">
        <v>3.33</v>
      </c>
      <c r="G23" s="353">
        <f>+SUM(H23:W23)</f>
        <v>0.83250000000000002</v>
      </c>
      <c r="H23" s="39"/>
      <c r="I23" s="39"/>
      <c r="J23" s="39"/>
      <c r="K23" s="39"/>
      <c r="L23" s="39"/>
      <c r="M23" s="39"/>
      <c r="N23" s="39"/>
      <c r="O23" s="39"/>
      <c r="P23" s="39"/>
      <c r="Q23" s="39"/>
      <c r="R23" s="39"/>
      <c r="S23" s="39"/>
      <c r="T23" s="39">
        <f t="shared" si="7"/>
        <v>0.83250000000000002</v>
      </c>
      <c r="U23" s="39"/>
      <c r="V23" s="39"/>
      <c r="W23" s="39"/>
      <c r="X23" s="39">
        <f>(F23+I23+J23+K23)*22.5/100</f>
        <v>0.74924999999999997</v>
      </c>
      <c r="Y23" s="32">
        <f>E23*100000</f>
        <v>491174.99999999994</v>
      </c>
      <c r="Z23" s="32">
        <f t="shared" si="8"/>
        <v>2947049.9999999995</v>
      </c>
    </row>
    <row r="24" spans="1:26" s="10" customFormat="1" ht="27.95" customHeight="1">
      <c r="A24" s="184">
        <v>5</v>
      </c>
      <c r="B24" s="14" t="s">
        <v>664</v>
      </c>
      <c r="C24" s="31"/>
      <c r="D24" s="31"/>
      <c r="E24" s="37">
        <f>+F24+G24+X24</f>
        <v>3.4514999999999998</v>
      </c>
      <c r="F24" s="43">
        <v>2.34</v>
      </c>
      <c r="G24" s="353">
        <f>+SUM(H24:W24)</f>
        <v>0.58499999999999996</v>
      </c>
      <c r="H24" s="39"/>
      <c r="I24" s="39"/>
      <c r="J24" s="39"/>
      <c r="K24" s="39"/>
      <c r="L24" s="39"/>
      <c r="M24" s="39"/>
      <c r="N24" s="39"/>
      <c r="O24" s="39"/>
      <c r="P24" s="39"/>
      <c r="Q24" s="39"/>
      <c r="R24" s="39"/>
      <c r="S24" s="39"/>
      <c r="T24" s="39">
        <f t="shared" si="7"/>
        <v>0.58499999999999996</v>
      </c>
      <c r="U24" s="39"/>
      <c r="V24" s="39"/>
      <c r="W24" s="39"/>
      <c r="X24" s="39">
        <f>(F24+I24+J24+K24)*22.5/100</f>
        <v>0.52649999999999997</v>
      </c>
      <c r="Y24" s="32">
        <f>E24*100000</f>
        <v>345150</v>
      </c>
      <c r="Z24" s="32">
        <f>Y24*3</f>
        <v>1035450</v>
      </c>
    </row>
    <row r="25" spans="1:26" s="10" customFormat="1" ht="31.5" customHeight="1">
      <c r="A25" s="4" t="s">
        <v>4</v>
      </c>
      <c r="B25" s="18" t="s">
        <v>51</v>
      </c>
      <c r="C25" s="30">
        <v>8</v>
      </c>
      <c r="D25" s="30">
        <v>7</v>
      </c>
      <c r="E25" s="40">
        <f t="shared" ref="E25:Y25" si="10">SUM(E26:E32)</f>
        <v>34.146250000000002</v>
      </c>
      <c r="F25" s="63">
        <f t="shared" si="10"/>
        <v>22.65</v>
      </c>
      <c r="G25" s="63">
        <f t="shared" si="10"/>
        <v>6.2875000000000014</v>
      </c>
      <c r="H25" s="63">
        <f t="shared" si="10"/>
        <v>0</v>
      </c>
      <c r="I25" s="63">
        <f t="shared" si="10"/>
        <v>0.5</v>
      </c>
      <c r="J25" s="63">
        <f t="shared" si="10"/>
        <v>0</v>
      </c>
      <c r="K25" s="63">
        <f t="shared" si="10"/>
        <v>0</v>
      </c>
      <c r="L25" s="63">
        <f t="shared" si="10"/>
        <v>0</v>
      </c>
      <c r="M25" s="63">
        <f t="shared" si="10"/>
        <v>0</v>
      </c>
      <c r="N25" s="63">
        <f t="shared" si="10"/>
        <v>0</v>
      </c>
      <c r="O25" s="63">
        <f t="shared" si="10"/>
        <v>0</v>
      </c>
      <c r="P25" s="63">
        <f t="shared" si="10"/>
        <v>0</v>
      </c>
      <c r="Q25" s="63">
        <f t="shared" si="10"/>
        <v>0</v>
      </c>
      <c r="R25" s="63">
        <f t="shared" si="10"/>
        <v>0</v>
      </c>
      <c r="S25" s="63">
        <f t="shared" si="10"/>
        <v>0</v>
      </c>
      <c r="T25" s="63">
        <f t="shared" si="10"/>
        <v>5.7874999999999996</v>
      </c>
      <c r="U25" s="63">
        <f t="shared" si="10"/>
        <v>0</v>
      </c>
      <c r="V25" s="63">
        <f t="shared" si="10"/>
        <v>0</v>
      </c>
      <c r="W25" s="63">
        <f t="shared" si="10"/>
        <v>0</v>
      </c>
      <c r="X25" s="63">
        <f t="shared" si="10"/>
        <v>5.2087499999999993</v>
      </c>
      <c r="Y25" s="33">
        <f t="shared" si="10"/>
        <v>3414625</v>
      </c>
      <c r="Z25" s="33">
        <f>SUM(Z26:Z32)</f>
        <v>20487750</v>
      </c>
    </row>
    <row r="26" spans="1:26" s="10" customFormat="1" ht="27.95" customHeight="1">
      <c r="A26" s="184">
        <v>1</v>
      </c>
      <c r="B26" s="14" t="s">
        <v>52</v>
      </c>
      <c r="C26" s="30"/>
      <c r="D26" s="30"/>
      <c r="E26" s="37">
        <f t="shared" ref="E26:E32" si="11">+F26+G26+X26</f>
        <v>6.3277500000000009</v>
      </c>
      <c r="F26" s="43">
        <v>3.99</v>
      </c>
      <c r="G26" s="353">
        <f>+SUM(H26:W26)</f>
        <v>1.3725000000000001</v>
      </c>
      <c r="H26" s="39"/>
      <c r="I26" s="39">
        <v>0.3</v>
      </c>
      <c r="J26" s="39"/>
      <c r="K26" s="39"/>
      <c r="L26" s="39"/>
      <c r="M26" s="39"/>
      <c r="N26" s="39"/>
      <c r="O26" s="39"/>
      <c r="P26" s="39"/>
      <c r="Q26" s="39"/>
      <c r="R26" s="39"/>
      <c r="S26" s="39"/>
      <c r="T26" s="39">
        <f>(F26+I26+J26)*25/100</f>
        <v>1.0725</v>
      </c>
      <c r="U26" s="39"/>
      <c r="V26" s="39"/>
      <c r="W26" s="39"/>
      <c r="X26" s="39">
        <f t="shared" ref="X26:X32" si="12">(F26+I26+J26+K26)*22.5/100</f>
        <v>0.96525000000000005</v>
      </c>
      <c r="Y26" s="32">
        <f t="shared" ref="Y26:Y32" si="13">E26*100000</f>
        <v>632775.00000000012</v>
      </c>
      <c r="Z26" s="32">
        <f t="shared" si="8"/>
        <v>3796650.0000000009</v>
      </c>
    </row>
    <row r="27" spans="1:26" s="10" customFormat="1" ht="27.95" customHeight="1">
      <c r="A27" s="184">
        <v>2</v>
      </c>
      <c r="B27" s="14" t="s">
        <v>53</v>
      </c>
      <c r="C27" s="30"/>
      <c r="D27" s="30"/>
      <c r="E27" s="37">
        <f t="shared" si="11"/>
        <v>5.6935000000000002</v>
      </c>
      <c r="F27" s="43">
        <v>3.66</v>
      </c>
      <c r="G27" s="353">
        <f t="shared" ref="G27:G42" si="14">+SUM(H27:W27)</f>
        <v>1.1650000000000003</v>
      </c>
      <c r="H27" s="39"/>
      <c r="I27" s="39">
        <v>0.2</v>
      </c>
      <c r="J27" s="39"/>
      <c r="K27" s="39"/>
      <c r="L27" s="39"/>
      <c r="M27" s="39"/>
      <c r="N27" s="39"/>
      <c r="O27" s="39"/>
      <c r="P27" s="39"/>
      <c r="Q27" s="39"/>
      <c r="R27" s="39"/>
      <c r="S27" s="39"/>
      <c r="T27" s="39">
        <f t="shared" ref="T27:T42" si="15">(F27+I27+J27)*25/100</f>
        <v>0.96500000000000019</v>
      </c>
      <c r="U27" s="39"/>
      <c r="V27" s="39"/>
      <c r="W27" s="39"/>
      <c r="X27" s="39">
        <f t="shared" si="12"/>
        <v>0.86850000000000005</v>
      </c>
      <c r="Y27" s="32">
        <f t="shared" si="13"/>
        <v>569350</v>
      </c>
      <c r="Z27" s="32">
        <f t="shared" si="8"/>
        <v>3416100</v>
      </c>
    </row>
    <row r="28" spans="1:26" s="10" customFormat="1" ht="27.95" customHeight="1">
      <c r="A28" s="184">
        <v>3</v>
      </c>
      <c r="B28" s="14" t="s">
        <v>54</v>
      </c>
      <c r="C28" s="30"/>
      <c r="D28" s="30"/>
      <c r="E28" s="37">
        <f t="shared" si="11"/>
        <v>4.9117499999999996</v>
      </c>
      <c r="F28" s="43">
        <v>3.33</v>
      </c>
      <c r="G28" s="353">
        <f t="shared" si="14"/>
        <v>0.83250000000000002</v>
      </c>
      <c r="H28" s="39"/>
      <c r="I28" s="39"/>
      <c r="J28" s="39"/>
      <c r="K28" s="39"/>
      <c r="L28" s="39"/>
      <c r="M28" s="39"/>
      <c r="N28" s="39"/>
      <c r="O28" s="39"/>
      <c r="P28" s="39"/>
      <c r="Q28" s="39"/>
      <c r="R28" s="39"/>
      <c r="S28" s="39"/>
      <c r="T28" s="39">
        <f t="shared" si="15"/>
        <v>0.83250000000000002</v>
      </c>
      <c r="U28" s="39"/>
      <c r="V28" s="39"/>
      <c r="W28" s="39"/>
      <c r="X28" s="39">
        <f t="shared" si="12"/>
        <v>0.74924999999999997</v>
      </c>
      <c r="Y28" s="32">
        <f t="shared" si="13"/>
        <v>491174.99999999994</v>
      </c>
      <c r="Z28" s="32">
        <f t="shared" si="8"/>
        <v>2947049.9999999995</v>
      </c>
    </row>
    <row r="29" spans="1:26" s="10" customFormat="1" ht="27.95" customHeight="1">
      <c r="A29" s="184">
        <v>4</v>
      </c>
      <c r="B29" s="14" t="s">
        <v>55</v>
      </c>
      <c r="C29" s="30"/>
      <c r="D29" s="30"/>
      <c r="E29" s="37">
        <f t="shared" si="11"/>
        <v>4.4249999999999998</v>
      </c>
      <c r="F29" s="43">
        <v>3</v>
      </c>
      <c r="G29" s="353">
        <f t="shared" si="14"/>
        <v>0.75</v>
      </c>
      <c r="H29" s="39"/>
      <c r="I29" s="39"/>
      <c r="J29" s="39"/>
      <c r="K29" s="39"/>
      <c r="L29" s="39"/>
      <c r="M29" s="39"/>
      <c r="N29" s="39"/>
      <c r="O29" s="39"/>
      <c r="P29" s="39"/>
      <c r="Q29" s="39"/>
      <c r="R29" s="39"/>
      <c r="S29" s="39"/>
      <c r="T29" s="39">
        <f t="shared" si="15"/>
        <v>0.75</v>
      </c>
      <c r="U29" s="39"/>
      <c r="V29" s="39"/>
      <c r="W29" s="39"/>
      <c r="X29" s="39">
        <f t="shared" si="12"/>
        <v>0.67500000000000004</v>
      </c>
      <c r="Y29" s="32">
        <f t="shared" si="13"/>
        <v>442500</v>
      </c>
      <c r="Z29" s="32">
        <f t="shared" si="8"/>
        <v>2655000</v>
      </c>
    </row>
    <row r="30" spans="1:26" s="10" customFormat="1" ht="27.95" customHeight="1">
      <c r="A30" s="184">
        <v>5</v>
      </c>
      <c r="B30" s="14" t="s">
        <v>58</v>
      </c>
      <c r="C30" s="30"/>
      <c r="D30" s="30"/>
      <c r="E30" s="37">
        <f t="shared" si="11"/>
        <v>4.4249999999999998</v>
      </c>
      <c r="F30" s="43">
        <v>3</v>
      </c>
      <c r="G30" s="353">
        <f>+SUM(H30:W30)</f>
        <v>0.75</v>
      </c>
      <c r="H30" s="39"/>
      <c r="I30" s="39"/>
      <c r="J30" s="39"/>
      <c r="K30" s="39"/>
      <c r="L30" s="39"/>
      <c r="M30" s="39"/>
      <c r="N30" s="39"/>
      <c r="O30" s="39"/>
      <c r="P30" s="39"/>
      <c r="Q30" s="39"/>
      <c r="R30" s="39"/>
      <c r="S30" s="39"/>
      <c r="T30" s="39">
        <f>(F30+I30+J30)*25/100</f>
        <v>0.75</v>
      </c>
      <c r="U30" s="39"/>
      <c r="V30" s="39"/>
      <c r="W30" s="39"/>
      <c r="X30" s="39">
        <f t="shared" si="12"/>
        <v>0.67500000000000004</v>
      </c>
      <c r="Y30" s="32">
        <f t="shared" si="13"/>
        <v>442500</v>
      </c>
      <c r="Z30" s="32">
        <f t="shared" si="8"/>
        <v>2655000</v>
      </c>
    </row>
    <row r="31" spans="1:26" s="10" customFormat="1" ht="27.95" customHeight="1">
      <c r="A31" s="184">
        <v>6</v>
      </c>
      <c r="B31" s="14" t="s">
        <v>56</v>
      </c>
      <c r="C31" s="30"/>
      <c r="D31" s="30"/>
      <c r="E31" s="37">
        <f t="shared" si="11"/>
        <v>4.4249999999999998</v>
      </c>
      <c r="F31" s="43">
        <v>3</v>
      </c>
      <c r="G31" s="353">
        <f t="shared" si="14"/>
        <v>0.75</v>
      </c>
      <c r="H31" s="39"/>
      <c r="I31" s="39"/>
      <c r="J31" s="39"/>
      <c r="K31" s="39"/>
      <c r="L31" s="39"/>
      <c r="M31" s="39"/>
      <c r="N31" s="39"/>
      <c r="O31" s="39"/>
      <c r="P31" s="39"/>
      <c r="Q31" s="39"/>
      <c r="R31" s="39"/>
      <c r="S31" s="39"/>
      <c r="T31" s="39">
        <f t="shared" si="15"/>
        <v>0.75</v>
      </c>
      <c r="U31" s="39"/>
      <c r="V31" s="39"/>
      <c r="W31" s="39"/>
      <c r="X31" s="39">
        <f t="shared" si="12"/>
        <v>0.67500000000000004</v>
      </c>
      <c r="Y31" s="32">
        <f t="shared" si="13"/>
        <v>442500</v>
      </c>
      <c r="Z31" s="32">
        <f t="shared" si="8"/>
        <v>2655000</v>
      </c>
    </row>
    <row r="32" spans="1:26" s="10" customFormat="1" ht="27.95" customHeight="1">
      <c r="A32" s="184">
        <v>7</v>
      </c>
      <c r="B32" s="14" t="s">
        <v>57</v>
      </c>
      <c r="C32" s="30"/>
      <c r="D32" s="30"/>
      <c r="E32" s="37">
        <f t="shared" si="11"/>
        <v>3.93825</v>
      </c>
      <c r="F32" s="43">
        <v>2.67</v>
      </c>
      <c r="G32" s="353">
        <f t="shared" si="14"/>
        <v>0.66749999999999998</v>
      </c>
      <c r="H32" s="39"/>
      <c r="I32" s="39"/>
      <c r="J32" s="39"/>
      <c r="K32" s="39"/>
      <c r="L32" s="39"/>
      <c r="M32" s="39"/>
      <c r="N32" s="39"/>
      <c r="O32" s="39"/>
      <c r="P32" s="39"/>
      <c r="Q32" s="39"/>
      <c r="R32" s="39"/>
      <c r="S32" s="39"/>
      <c r="T32" s="39">
        <f t="shared" si="15"/>
        <v>0.66749999999999998</v>
      </c>
      <c r="U32" s="39"/>
      <c r="V32" s="39"/>
      <c r="W32" s="39"/>
      <c r="X32" s="39">
        <f t="shared" si="12"/>
        <v>0.60075000000000001</v>
      </c>
      <c r="Y32" s="32">
        <f t="shared" si="13"/>
        <v>393825</v>
      </c>
      <c r="Z32" s="32">
        <f t="shared" si="8"/>
        <v>2362950</v>
      </c>
    </row>
    <row r="33" spans="1:26" s="10" customFormat="1" ht="27.95" customHeight="1">
      <c r="A33" s="4" t="s">
        <v>59</v>
      </c>
      <c r="B33" s="18" t="s">
        <v>60</v>
      </c>
      <c r="C33" s="30">
        <v>4</v>
      </c>
      <c r="D33" s="30">
        <v>3</v>
      </c>
      <c r="E33" s="40">
        <f t="shared" ref="E33:Z33" si="16">SUM(E34:E38)</f>
        <v>15.428749999999997</v>
      </c>
      <c r="F33" s="63">
        <f t="shared" si="16"/>
        <v>9.5499999999999989</v>
      </c>
      <c r="G33" s="63">
        <f t="shared" si="16"/>
        <v>3.6624999999999996</v>
      </c>
      <c r="H33" s="63">
        <f t="shared" si="16"/>
        <v>0</v>
      </c>
      <c r="I33" s="63">
        <f t="shared" si="16"/>
        <v>0.3</v>
      </c>
      <c r="J33" s="63">
        <f t="shared" si="16"/>
        <v>0</v>
      </c>
      <c r="K33" s="63">
        <f t="shared" si="16"/>
        <v>0</v>
      </c>
      <c r="L33" s="63">
        <f t="shared" si="16"/>
        <v>0</v>
      </c>
      <c r="M33" s="63">
        <f t="shared" si="16"/>
        <v>0</v>
      </c>
      <c r="N33" s="63">
        <f t="shared" si="16"/>
        <v>0.89999999999999991</v>
      </c>
      <c r="O33" s="63">
        <f t="shared" si="16"/>
        <v>0</v>
      </c>
      <c r="P33" s="63">
        <f t="shared" si="16"/>
        <v>0</v>
      </c>
      <c r="Q33" s="63">
        <f t="shared" si="16"/>
        <v>0</v>
      </c>
      <c r="R33" s="63">
        <f t="shared" si="16"/>
        <v>0</v>
      </c>
      <c r="S33" s="63">
        <f t="shared" si="16"/>
        <v>0</v>
      </c>
      <c r="T33" s="63">
        <f t="shared" si="16"/>
        <v>2.4624999999999999</v>
      </c>
      <c r="U33" s="63">
        <f t="shared" si="16"/>
        <v>0</v>
      </c>
      <c r="V33" s="63">
        <f t="shared" si="16"/>
        <v>0</v>
      </c>
      <c r="W33" s="63">
        <f t="shared" si="16"/>
        <v>0</v>
      </c>
      <c r="X33" s="63">
        <f t="shared" si="16"/>
        <v>2.2162499999999996</v>
      </c>
      <c r="Y33" s="33">
        <f t="shared" si="16"/>
        <v>1542875</v>
      </c>
      <c r="Z33" s="33">
        <f t="shared" si="16"/>
        <v>9257250</v>
      </c>
    </row>
    <row r="34" spans="1:26" s="10" customFormat="1" ht="27.95" customHeight="1">
      <c r="A34" s="185">
        <v>1</v>
      </c>
      <c r="B34" s="14" t="s">
        <v>61</v>
      </c>
      <c r="C34" s="30"/>
      <c r="D34" s="30"/>
      <c r="E34" s="37">
        <f>+F34+G34+X34</f>
        <v>6.141</v>
      </c>
      <c r="F34" s="43">
        <v>3.66</v>
      </c>
      <c r="G34" s="353">
        <f t="shared" si="14"/>
        <v>1.5899999999999999</v>
      </c>
      <c r="H34" s="39"/>
      <c r="I34" s="39">
        <v>0.3</v>
      </c>
      <c r="J34" s="39"/>
      <c r="K34" s="39"/>
      <c r="L34" s="39"/>
      <c r="M34" s="39"/>
      <c r="N34" s="39">
        <v>0.3</v>
      </c>
      <c r="O34" s="39"/>
      <c r="P34" s="39"/>
      <c r="Q34" s="39"/>
      <c r="R34" s="39"/>
      <c r="S34" s="39"/>
      <c r="T34" s="39">
        <f t="shared" si="15"/>
        <v>0.99</v>
      </c>
      <c r="U34" s="39"/>
      <c r="V34" s="39"/>
      <c r="W34" s="39"/>
      <c r="X34" s="39">
        <f>(F34+I34+J34+K34)*22.5/100</f>
        <v>0.8909999999999999</v>
      </c>
      <c r="Y34" s="32">
        <f>E34*100000</f>
        <v>614100</v>
      </c>
      <c r="Z34" s="32">
        <f t="shared" si="8"/>
        <v>3684600</v>
      </c>
    </row>
    <row r="35" spans="1:26" s="10" customFormat="1" ht="27.95" customHeight="1">
      <c r="A35" s="2">
        <v>2</v>
      </c>
      <c r="B35" s="12" t="s">
        <v>122</v>
      </c>
      <c r="C35" s="30"/>
      <c r="D35" s="30"/>
      <c r="E35" s="37">
        <f>+F35+G35+X35</f>
        <v>0.3</v>
      </c>
      <c r="F35" s="43"/>
      <c r="G35" s="353">
        <f t="shared" si="14"/>
        <v>0.3</v>
      </c>
      <c r="H35" s="39"/>
      <c r="I35" s="39"/>
      <c r="J35" s="39"/>
      <c r="K35" s="39"/>
      <c r="L35" s="39"/>
      <c r="M35" s="39"/>
      <c r="N35" s="39">
        <v>0.3</v>
      </c>
      <c r="O35" s="39"/>
      <c r="P35" s="39"/>
      <c r="Q35" s="39"/>
      <c r="R35" s="39"/>
      <c r="S35" s="39"/>
      <c r="T35" s="39">
        <f t="shared" si="15"/>
        <v>0</v>
      </c>
      <c r="U35" s="39"/>
      <c r="V35" s="39"/>
      <c r="W35" s="39"/>
      <c r="X35" s="39">
        <f>(F35+I35+J35+K35)*22.5/100</f>
        <v>0</v>
      </c>
      <c r="Y35" s="32">
        <f>E35*100000</f>
        <v>30000</v>
      </c>
      <c r="Z35" s="32">
        <f t="shared" si="8"/>
        <v>180000</v>
      </c>
    </row>
    <row r="36" spans="1:26" s="10" customFormat="1" ht="27.95" customHeight="1">
      <c r="A36" s="2">
        <v>3</v>
      </c>
      <c r="B36" s="12" t="s">
        <v>123</v>
      </c>
      <c r="C36" s="30"/>
      <c r="D36" s="30"/>
      <c r="E36" s="37">
        <f>+F36+G36+X36</f>
        <v>0.3</v>
      </c>
      <c r="F36" s="43"/>
      <c r="G36" s="353">
        <f t="shared" si="14"/>
        <v>0.3</v>
      </c>
      <c r="H36" s="39"/>
      <c r="I36" s="39"/>
      <c r="J36" s="39"/>
      <c r="K36" s="39"/>
      <c r="L36" s="39"/>
      <c r="M36" s="39"/>
      <c r="N36" s="39">
        <v>0.3</v>
      </c>
      <c r="O36" s="39"/>
      <c r="P36" s="39"/>
      <c r="Q36" s="39"/>
      <c r="R36" s="39"/>
      <c r="S36" s="39"/>
      <c r="T36" s="39">
        <f t="shared" si="15"/>
        <v>0</v>
      </c>
      <c r="U36" s="39"/>
      <c r="V36" s="39"/>
      <c r="W36" s="39"/>
      <c r="X36" s="39">
        <f>(F36+I36+J36+K36)*22.5/100</f>
        <v>0</v>
      </c>
      <c r="Y36" s="32">
        <f>E36*100000</f>
        <v>30000</v>
      </c>
      <c r="Z36" s="32">
        <f t="shared" si="8"/>
        <v>180000</v>
      </c>
    </row>
    <row r="37" spans="1:26" s="10" customFormat="1" ht="27.95" customHeight="1">
      <c r="A37" s="185">
        <v>4</v>
      </c>
      <c r="B37" s="14" t="s">
        <v>62</v>
      </c>
      <c r="C37" s="30"/>
      <c r="D37" s="30"/>
      <c r="E37" s="37">
        <f>+F37+G37+X37</f>
        <v>4.4692499999999997</v>
      </c>
      <c r="F37" s="43">
        <v>3.03</v>
      </c>
      <c r="G37" s="353">
        <f t="shared" si="14"/>
        <v>0.75749999999999995</v>
      </c>
      <c r="H37" s="39"/>
      <c r="I37" s="39"/>
      <c r="J37" s="39"/>
      <c r="K37" s="39"/>
      <c r="L37" s="39"/>
      <c r="M37" s="39"/>
      <c r="N37" s="39"/>
      <c r="O37" s="39"/>
      <c r="P37" s="39"/>
      <c r="Q37" s="39"/>
      <c r="R37" s="39"/>
      <c r="S37" s="39"/>
      <c r="T37" s="39">
        <f t="shared" si="15"/>
        <v>0.75749999999999995</v>
      </c>
      <c r="U37" s="39"/>
      <c r="V37" s="39"/>
      <c r="W37" s="39"/>
      <c r="X37" s="39">
        <f>(F37+I37+J37+K37)*22.5/100</f>
        <v>0.68174999999999997</v>
      </c>
      <c r="Y37" s="32">
        <f>E37*100000</f>
        <v>446925</v>
      </c>
      <c r="Z37" s="32">
        <f t="shared" si="8"/>
        <v>2681550</v>
      </c>
    </row>
    <row r="38" spans="1:26" s="10" customFormat="1" ht="27.95" customHeight="1">
      <c r="A38" s="185">
        <v>5</v>
      </c>
      <c r="B38" s="14" t="s">
        <v>665</v>
      </c>
      <c r="C38" s="30"/>
      <c r="D38" s="30"/>
      <c r="E38" s="37">
        <f>+F38+G38+X38</f>
        <v>4.2184999999999997</v>
      </c>
      <c r="F38" s="43">
        <v>2.86</v>
      </c>
      <c r="G38" s="353">
        <f t="shared" si="14"/>
        <v>0.71499999999999997</v>
      </c>
      <c r="H38" s="39"/>
      <c r="I38" s="39"/>
      <c r="J38" s="39"/>
      <c r="K38" s="39"/>
      <c r="L38" s="39"/>
      <c r="M38" s="39"/>
      <c r="N38" s="39"/>
      <c r="O38" s="39"/>
      <c r="P38" s="39"/>
      <c r="Q38" s="39"/>
      <c r="R38" s="39"/>
      <c r="S38" s="39"/>
      <c r="T38" s="39">
        <f t="shared" si="15"/>
        <v>0.71499999999999997</v>
      </c>
      <c r="U38" s="39"/>
      <c r="V38" s="39"/>
      <c r="W38" s="39"/>
      <c r="X38" s="39">
        <f>(F38+I38+J38+K38)*22.5/100</f>
        <v>0.64349999999999996</v>
      </c>
      <c r="Y38" s="32">
        <f>E38*100000</f>
        <v>421849.99999999994</v>
      </c>
      <c r="Z38" s="32">
        <f t="shared" si="8"/>
        <v>2531099.9999999995</v>
      </c>
    </row>
    <row r="39" spans="1:26" s="10" customFormat="1" ht="34.5" customHeight="1">
      <c r="A39" s="4" t="s">
        <v>65</v>
      </c>
      <c r="B39" s="59" t="s">
        <v>66</v>
      </c>
      <c r="C39" s="30">
        <v>5</v>
      </c>
      <c r="D39" s="30">
        <v>5</v>
      </c>
      <c r="E39" s="40">
        <f t="shared" ref="E39:Z39" si="17">SUM(E40:E44)</f>
        <v>25.768249999999998</v>
      </c>
      <c r="F39" s="63">
        <f t="shared" si="17"/>
        <v>16.97</v>
      </c>
      <c r="G39" s="63">
        <f t="shared" si="17"/>
        <v>4.8675000000000006</v>
      </c>
      <c r="H39" s="63">
        <f t="shared" si="17"/>
        <v>0</v>
      </c>
      <c r="I39" s="63">
        <f t="shared" si="17"/>
        <v>0.5</v>
      </c>
      <c r="J39" s="63">
        <f t="shared" si="17"/>
        <v>0</v>
      </c>
      <c r="K39" s="63">
        <f t="shared" si="17"/>
        <v>0</v>
      </c>
      <c r="L39" s="63">
        <f t="shared" si="17"/>
        <v>0</v>
      </c>
      <c r="M39" s="63">
        <f t="shared" si="17"/>
        <v>0</v>
      </c>
      <c r="N39" s="63">
        <f t="shared" si="17"/>
        <v>0</v>
      </c>
      <c r="O39" s="63">
        <f t="shared" si="17"/>
        <v>0</v>
      </c>
      <c r="P39" s="63">
        <f t="shared" si="17"/>
        <v>0</v>
      </c>
      <c r="Q39" s="63">
        <f t="shared" si="17"/>
        <v>0</v>
      </c>
      <c r="R39" s="63">
        <f t="shared" si="17"/>
        <v>0</v>
      </c>
      <c r="S39" s="63">
        <f t="shared" si="17"/>
        <v>0</v>
      </c>
      <c r="T39" s="63">
        <f t="shared" si="17"/>
        <v>4.3674999999999997</v>
      </c>
      <c r="U39" s="63">
        <f t="shared" si="17"/>
        <v>0</v>
      </c>
      <c r="V39" s="63">
        <f t="shared" si="17"/>
        <v>0</v>
      </c>
      <c r="W39" s="63">
        <f t="shared" si="17"/>
        <v>0</v>
      </c>
      <c r="X39" s="63">
        <f t="shared" si="17"/>
        <v>3.9307500000000002</v>
      </c>
      <c r="Y39" s="33">
        <f t="shared" si="17"/>
        <v>2576825</v>
      </c>
      <c r="Z39" s="33">
        <f t="shared" si="17"/>
        <v>15460950</v>
      </c>
    </row>
    <row r="40" spans="1:26" s="10" customFormat="1" ht="27.95" customHeight="1">
      <c r="A40" s="184">
        <v>1</v>
      </c>
      <c r="B40" s="14" t="s">
        <v>67</v>
      </c>
      <c r="C40" s="30"/>
      <c r="D40" s="30"/>
      <c r="E40" s="37">
        <f>+F40+G40+X40</f>
        <v>5.3542499999999995</v>
      </c>
      <c r="F40" s="43">
        <v>3.33</v>
      </c>
      <c r="G40" s="353">
        <f t="shared" si="14"/>
        <v>1.2075</v>
      </c>
      <c r="H40" s="39"/>
      <c r="I40" s="39">
        <v>0.3</v>
      </c>
      <c r="J40" s="39"/>
      <c r="K40" s="39"/>
      <c r="L40" s="39"/>
      <c r="M40" s="39"/>
      <c r="N40" s="39"/>
      <c r="O40" s="39"/>
      <c r="P40" s="39"/>
      <c r="Q40" s="39"/>
      <c r="R40" s="39"/>
      <c r="S40" s="39"/>
      <c r="T40" s="39">
        <f t="shared" si="15"/>
        <v>0.90749999999999997</v>
      </c>
      <c r="U40" s="39"/>
      <c r="V40" s="39"/>
      <c r="W40" s="39"/>
      <c r="X40" s="39">
        <f>(F40+I40+J40+K40)*22.5/100</f>
        <v>0.81674999999999998</v>
      </c>
      <c r="Y40" s="32">
        <f>E40*100000</f>
        <v>535425</v>
      </c>
      <c r="Z40" s="32">
        <f t="shared" si="8"/>
        <v>3212550</v>
      </c>
    </row>
    <row r="41" spans="1:26" s="10" customFormat="1" ht="27.95" customHeight="1">
      <c r="A41" s="184">
        <v>2</v>
      </c>
      <c r="B41" s="14" t="s">
        <v>68</v>
      </c>
      <c r="C41" s="30"/>
      <c r="D41" s="30"/>
      <c r="E41" s="37">
        <f>+F41+G41+X41</f>
        <v>5.6935000000000002</v>
      </c>
      <c r="F41" s="43">
        <v>3.66</v>
      </c>
      <c r="G41" s="353">
        <f t="shared" si="14"/>
        <v>1.1650000000000003</v>
      </c>
      <c r="H41" s="39"/>
      <c r="I41" s="39">
        <v>0.2</v>
      </c>
      <c r="J41" s="39"/>
      <c r="K41" s="39"/>
      <c r="L41" s="39"/>
      <c r="M41" s="39"/>
      <c r="N41" s="39"/>
      <c r="O41" s="39"/>
      <c r="P41" s="39"/>
      <c r="Q41" s="39"/>
      <c r="R41" s="39"/>
      <c r="S41" s="39"/>
      <c r="T41" s="39">
        <f t="shared" si="15"/>
        <v>0.96500000000000019</v>
      </c>
      <c r="U41" s="39"/>
      <c r="V41" s="39"/>
      <c r="W41" s="39"/>
      <c r="X41" s="39">
        <f>(F41+I41+J41+K41)*22.5/100</f>
        <v>0.86850000000000005</v>
      </c>
      <c r="Y41" s="32">
        <f>E41*100000</f>
        <v>569350</v>
      </c>
      <c r="Z41" s="32">
        <f t="shared" si="8"/>
        <v>3416100</v>
      </c>
    </row>
    <row r="42" spans="1:26" s="10" customFormat="1" ht="27.95" customHeight="1">
      <c r="A42" s="184">
        <v>3</v>
      </c>
      <c r="B42" s="14" t="s">
        <v>666</v>
      </c>
      <c r="C42" s="30"/>
      <c r="D42" s="30"/>
      <c r="E42" s="37">
        <f>+F42+G42+X42</f>
        <v>5.3985000000000003</v>
      </c>
      <c r="F42" s="43">
        <v>3.66</v>
      </c>
      <c r="G42" s="353">
        <f t="shared" si="14"/>
        <v>0.91500000000000004</v>
      </c>
      <c r="H42" s="39"/>
      <c r="I42" s="39"/>
      <c r="J42" s="39"/>
      <c r="K42" s="39"/>
      <c r="L42" s="39"/>
      <c r="M42" s="39"/>
      <c r="N42" s="39"/>
      <c r="O42" s="39"/>
      <c r="P42" s="39"/>
      <c r="Q42" s="39"/>
      <c r="R42" s="39"/>
      <c r="S42" s="39"/>
      <c r="T42" s="39">
        <f t="shared" si="15"/>
        <v>0.91500000000000004</v>
      </c>
      <c r="U42" s="39"/>
      <c r="V42" s="39"/>
      <c r="W42" s="39"/>
      <c r="X42" s="39">
        <f>(F42+I42+J42+K42)*22.5/100</f>
        <v>0.82350000000000012</v>
      </c>
      <c r="Y42" s="32">
        <f>E42*100000</f>
        <v>539850</v>
      </c>
      <c r="Z42" s="32">
        <f t="shared" si="8"/>
        <v>3239100</v>
      </c>
    </row>
    <row r="43" spans="1:26" s="10" customFormat="1" ht="27.95" customHeight="1">
      <c r="A43" s="184">
        <v>4</v>
      </c>
      <c r="B43" s="14" t="s">
        <v>667</v>
      </c>
      <c r="C43" s="30"/>
      <c r="D43" s="30"/>
      <c r="E43" s="37">
        <f>+F43+G43+X43</f>
        <v>5.3985000000000003</v>
      </c>
      <c r="F43" s="43">
        <v>3.66</v>
      </c>
      <c r="G43" s="353">
        <f>+SUM(H43:W43)</f>
        <v>0.91500000000000004</v>
      </c>
      <c r="H43" s="39"/>
      <c r="I43" s="39"/>
      <c r="J43" s="39"/>
      <c r="K43" s="39"/>
      <c r="L43" s="39"/>
      <c r="M43" s="39"/>
      <c r="N43" s="39"/>
      <c r="O43" s="39"/>
      <c r="P43" s="39"/>
      <c r="Q43" s="39"/>
      <c r="R43" s="39"/>
      <c r="S43" s="39"/>
      <c r="T43" s="39">
        <f>(F43+I43+J43)*25/100</f>
        <v>0.91500000000000004</v>
      </c>
      <c r="U43" s="39"/>
      <c r="V43" s="39"/>
      <c r="W43" s="39"/>
      <c r="X43" s="39">
        <f>(F43+I43+J43+K43)*22.5/100</f>
        <v>0.82350000000000012</v>
      </c>
      <c r="Y43" s="32">
        <f>E43*100000</f>
        <v>539850</v>
      </c>
      <c r="Z43" s="32">
        <f t="shared" si="8"/>
        <v>3239100</v>
      </c>
    </row>
    <row r="44" spans="1:26" s="10" customFormat="1" ht="27.75" customHeight="1">
      <c r="A44" s="184">
        <v>5</v>
      </c>
      <c r="B44" s="14" t="s">
        <v>69</v>
      </c>
      <c r="C44" s="30"/>
      <c r="D44" s="30"/>
      <c r="E44" s="37">
        <f>+F44+G44+X44</f>
        <v>3.9235000000000002</v>
      </c>
      <c r="F44" s="43">
        <v>2.66</v>
      </c>
      <c r="G44" s="353">
        <f>+SUM(H44:W44)</f>
        <v>0.66500000000000004</v>
      </c>
      <c r="H44" s="39"/>
      <c r="I44" s="39"/>
      <c r="J44" s="39"/>
      <c r="K44" s="39"/>
      <c r="L44" s="39"/>
      <c r="M44" s="39"/>
      <c r="N44" s="39"/>
      <c r="O44" s="39"/>
      <c r="P44" s="39"/>
      <c r="Q44" s="39"/>
      <c r="R44" s="39"/>
      <c r="S44" s="39"/>
      <c r="T44" s="39">
        <f>(F44+I44+J44)*25/100</f>
        <v>0.66500000000000004</v>
      </c>
      <c r="U44" s="39"/>
      <c r="V44" s="39"/>
      <c r="W44" s="39"/>
      <c r="X44" s="39">
        <f>(F44+I44+J44+K44)*22.5/100</f>
        <v>0.59850000000000003</v>
      </c>
      <c r="Y44" s="32">
        <f>E44*100000</f>
        <v>392350</v>
      </c>
      <c r="Z44" s="32">
        <f t="shared" si="8"/>
        <v>2354100</v>
      </c>
    </row>
    <row r="45" spans="1:26" s="10" customFormat="1" ht="27.75" customHeight="1">
      <c r="A45" s="4" t="s">
        <v>79</v>
      </c>
      <c r="B45" s="18" t="s">
        <v>104</v>
      </c>
      <c r="C45" s="30">
        <v>4</v>
      </c>
      <c r="D45" s="30">
        <v>4</v>
      </c>
      <c r="E45" s="40">
        <f>SUM(E46:E49)</f>
        <v>17.729499999999998</v>
      </c>
      <c r="F45" s="63">
        <f t="shared" ref="F45:Z45" si="18">SUM(F46:F49)</f>
        <v>11.719999999999999</v>
      </c>
      <c r="G45" s="63">
        <f t="shared" si="18"/>
        <v>3.3049999999999997</v>
      </c>
      <c r="H45" s="63">
        <f t="shared" si="18"/>
        <v>0</v>
      </c>
      <c r="I45" s="63">
        <f t="shared" si="18"/>
        <v>0.3</v>
      </c>
      <c r="J45" s="63">
        <f t="shared" si="18"/>
        <v>0</v>
      </c>
      <c r="K45" s="63">
        <f t="shared" si="18"/>
        <v>0</v>
      </c>
      <c r="L45" s="63">
        <f t="shared" si="18"/>
        <v>0</v>
      </c>
      <c r="M45" s="63">
        <f t="shared" si="18"/>
        <v>0</v>
      </c>
      <c r="N45" s="63">
        <f t="shared" si="18"/>
        <v>0</v>
      </c>
      <c r="O45" s="63">
        <f t="shared" si="18"/>
        <v>0</v>
      </c>
      <c r="P45" s="63">
        <f t="shared" si="18"/>
        <v>0</v>
      </c>
      <c r="Q45" s="63">
        <f t="shared" si="18"/>
        <v>0</v>
      </c>
      <c r="R45" s="63">
        <f t="shared" si="18"/>
        <v>0</v>
      </c>
      <c r="S45" s="63">
        <f t="shared" si="18"/>
        <v>0</v>
      </c>
      <c r="T45" s="63">
        <f t="shared" si="18"/>
        <v>3.0049999999999999</v>
      </c>
      <c r="U45" s="63">
        <f t="shared" si="18"/>
        <v>0</v>
      </c>
      <c r="V45" s="63">
        <f t="shared" si="18"/>
        <v>0</v>
      </c>
      <c r="W45" s="63">
        <f t="shared" si="18"/>
        <v>0</v>
      </c>
      <c r="X45" s="63">
        <f t="shared" si="18"/>
        <v>2.7045000000000003</v>
      </c>
      <c r="Y45" s="33">
        <f t="shared" si="18"/>
        <v>1772950</v>
      </c>
      <c r="Z45" s="33">
        <f t="shared" si="18"/>
        <v>10637700</v>
      </c>
    </row>
    <row r="46" spans="1:26" s="10" customFormat="1" ht="27.75" customHeight="1">
      <c r="A46" s="184">
        <v>1</v>
      </c>
      <c r="B46" s="12" t="s">
        <v>105</v>
      </c>
      <c r="C46" s="30"/>
      <c r="D46" s="30"/>
      <c r="E46" s="37">
        <f>+F46+G46+X46</f>
        <v>4.8674999999999997</v>
      </c>
      <c r="F46" s="43">
        <v>3</v>
      </c>
      <c r="G46" s="353">
        <f>+SUM(H46:W46)</f>
        <v>1.125</v>
      </c>
      <c r="H46" s="39"/>
      <c r="I46" s="39">
        <v>0.3</v>
      </c>
      <c r="J46" s="39"/>
      <c r="K46" s="39"/>
      <c r="L46" s="39"/>
      <c r="M46" s="39"/>
      <c r="N46" s="39"/>
      <c r="O46" s="39"/>
      <c r="P46" s="39"/>
      <c r="Q46" s="39"/>
      <c r="R46" s="39"/>
      <c r="S46" s="39"/>
      <c r="T46" s="39">
        <f>(F46+I46+J46)*25/100</f>
        <v>0.82499999999999996</v>
      </c>
      <c r="U46" s="39"/>
      <c r="V46" s="39"/>
      <c r="W46" s="39"/>
      <c r="X46" s="39">
        <f>(F46+I46+J46+K46)*22.5/100</f>
        <v>0.74250000000000005</v>
      </c>
      <c r="Y46" s="32">
        <f>E46*100000</f>
        <v>486750</v>
      </c>
      <c r="Z46" s="32">
        <f t="shared" si="8"/>
        <v>2920500</v>
      </c>
    </row>
    <row r="47" spans="1:26" s="10" customFormat="1" ht="27.75" customHeight="1">
      <c r="A47" s="184">
        <v>2</v>
      </c>
      <c r="B47" s="12" t="s">
        <v>106</v>
      </c>
      <c r="C47" s="30"/>
      <c r="D47" s="30"/>
      <c r="E47" s="37">
        <f>+F47+G47+X47</f>
        <v>4.8084999999999996</v>
      </c>
      <c r="F47" s="43">
        <v>3.26</v>
      </c>
      <c r="G47" s="353">
        <f>+SUM(H47:W47)</f>
        <v>0.81499999999999995</v>
      </c>
      <c r="H47" s="39"/>
      <c r="I47" s="39"/>
      <c r="J47" s="39"/>
      <c r="K47" s="39"/>
      <c r="L47" s="39"/>
      <c r="M47" s="39"/>
      <c r="N47" s="39"/>
      <c r="O47" s="39"/>
      <c r="P47" s="39"/>
      <c r="Q47" s="39"/>
      <c r="R47" s="39"/>
      <c r="S47" s="39"/>
      <c r="T47" s="39">
        <f>(F47+I47+J47)*25/100</f>
        <v>0.81499999999999995</v>
      </c>
      <c r="U47" s="39"/>
      <c r="V47" s="39"/>
      <c r="W47" s="39"/>
      <c r="X47" s="39">
        <f>(F47+I47+J47+K47)*22.5/100</f>
        <v>0.73349999999999993</v>
      </c>
      <c r="Y47" s="32">
        <f>E47*100000</f>
        <v>480849.99999999994</v>
      </c>
      <c r="Z47" s="32">
        <f t="shared" si="8"/>
        <v>2885099.9999999995</v>
      </c>
    </row>
    <row r="48" spans="1:26" s="10" customFormat="1" ht="27.75" customHeight="1">
      <c r="A48" s="184">
        <v>3</v>
      </c>
      <c r="B48" s="12" t="s">
        <v>668</v>
      </c>
      <c r="C48" s="30"/>
      <c r="D48" s="30"/>
      <c r="E48" s="37">
        <f>+F48+G48+X48</f>
        <v>3.6285000000000003</v>
      </c>
      <c r="F48" s="43">
        <v>2.46</v>
      </c>
      <c r="G48" s="353">
        <f>+SUM(H48:W48)</f>
        <v>0.61499999999999999</v>
      </c>
      <c r="H48" s="39"/>
      <c r="I48" s="39"/>
      <c r="J48" s="39"/>
      <c r="K48" s="39"/>
      <c r="L48" s="39"/>
      <c r="M48" s="39"/>
      <c r="N48" s="39"/>
      <c r="O48" s="39"/>
      <c r="P48" s="39"/>
      <c r="Q48" s="39"/>
      <c r="R48" s="39"/>
      <c r="S48" s="39"/>
      <c r="T48" s="39">
        <f>(F48+I48+J48)*25/100</f>
        <v>0.61499999999999999</v>
      </c>
      <c r="U48" s="39"/>
      <c r="V48" s="39"/>
      <c r="W48" s="39"/>
      <c r="X48" s="39">
        <f>(F48+I48+J48+K48)*22.5/100</f>
        <v>0.55349999999999999</v>
      </c>
      <c r="Y48" s="32">
        <f>E48*100000</f>
        <v>362850</v>
      </c>
      <c r="Z48" s="32">
        <f t="shared" si="8"/>
        <v>2177100</v>
      </c>
    </row>
    <row r="49" spans="1:26" s="10" customFormat="1" ht="27.75" customHeight="1">
      <c r="A49" s="184">
        <v>4</v>
      </c>
      <c r="B49" s="12" t="s">
        <v>107</v>
      </c>
      <c r="C49" s="30"/>
      <c r="D49" s="30"/>
      <c r="E49" s="37">
        <f>+F49+G49+X49</f>
        <v>4.4249999999999998</v>
      </c>
      <c r="F49" s="43">
        <v>3</v>
      </c>
      <c r="G49" s="353">
        <f>+SUM(H49:W49)</f>
        <v>0.75</v>
      </c>
      <c r="H49" s="39"/>
      <c r="I49" s="39"/>
      <c r="J49" s="39"/>
      <c r="K49" s="39"/>
      <c r="L49" s="39"/>
      <c r="M49" s="39"/>
      <c r="N49" s="39"/>
      <c r="O49" s="39"/>
      <c r="P49" s="39"/>
      <c r="Q49" s="39"/>
      <c r="R49" s="39"/>
      <c r="S49" s="39"/>
      <c r="T49" s="39">
        <f>(F49+I49+J49)*25/100</f>
        <v>0.75</v>
      </c>
      <c r="U49" s="39"/>
      <c r="V49" s="39"/>
      <c r="W49" s="39"/>
      <c r="X49" s="39">
        <f>(F49+I49+J49+K49)*22.5/100</f>
        <v>0.67500000000000004</v>
      </c>
      <c r="Y49" s="32">
        <f>E49*100000</f>
        <v>442500</v>
      </c>
      <c r="Z49" s="32">
        <f t="shared" si="8"/>
        <v>2655000</v>
      </c>
    </row>
    <row r="50" spans="1:26" s="10" customFormat="1" ht="27.75" customHeight="1">
      <c r="A50" s="4" t="s">
        <v>116</v>
      </c>
      <c r="B50" s="18" t="s">
        <v>115</v>
      </c>
      <c r="C50" s="32">
        <v>9</v>
      </c>
      <c r="D50" s="32">
        <v>6</v>
      </c>
      <c r="E50" s="40">
        <f t="shared" ref="E50:Z50" si="19">SUM(E51:E56)</f>
        <v>30.016249999999999</v>
      </c>
      <c r="F50" s="63">
        <f t="shared" si="19"/>
        <v>19.649999999999999</v>
      </c>
      <c r="G50" s="63">
        <f t="shared" si="19"/>
        <v>5.7874999999999996</v>
      </c>
      <c r="H50" s="63">
        <f t="shared" si="19"/>
        <v>0</v>
      </c>
      <c r="I50" s="63">
        <f t="shared" si="19"/>
        <v>0.7</v>
      </c>
      <c r="J50" s="63">
        <f t="shared" si="19"/>
        <v>0</v>
      </c>
      <c r="K50" s="63">
        <f t="shared" si="19"/>
        <v>0</v>
      </c>
      <c r="L50" s="63">
        <f t="shared" si="19"/>
        <v>0</v>
      </c>
      <c r="M50" s="63">
        <f t="shared" si="19"/>
        <v>0</v>
      </c>
      <c r="N50" s="63">
        <f t="shared" si="19"/>
        <v>0</v>
      </c>
      <c r="O50" s="63">
        <f t="shared" si="19"/>
        <v>0</v>
      </c>
      <c r="P50" s="63">
        <f t="shared" si="19"/>
        <v>0</v>
      </c>
      <c r="Q50" s="63">
        <f t="shared" si="19"/>
        <v>0</v>
      </c>
      <c r="R50" s="63">
        <f t="shared" si="19"/>
        <v>0</v>
      </c>
      <c r="S50" s="63">
        <f t="shared" si="19"/>
        <v>0</v>
      </c>
      <c r="T50" s="63">
        <f t="shared" si="19"/>
        <v>5.0875000000000004</v>
      </c>
      <c r="U50" s="63">
        <f t="shared" si="19"/>
        <v>0</v>
      </c>
      <c r="V50" s="63">
        <f t="shared" si="19"/>
        <v>0</v>
      </c>
      <c r="W50" s="63">
        <f t="shared" si="19"/>
        <v>0</v>
      </c>
      <c r="X50" s="63">
        <f t="shared" si="19"/>
        <v>4.5787499999999994</v>
      </c>
      <c r="Y50" s="33">
        <f t="shared" si="19"/>
        <v>3001625</v>
      </c>
      <c r="Z50" s="33">
        <f t="shared" si="19"/>
        <v>18009750</v>
      </c>
    </row>
    <row r="51" spans="1:26" s="10" customFormat="1" ht="27.75" customHeight="1">
      <c r="A51" s="184">
        <v>1</v>
      </c>
      <c r="B51" s="12" t="s">
        <v>117</v>
      </c>
      <c r="C51" s="30"/>
      <c r="D51" s="30"/>
      <c r="E51" s="37">
        <f t="shared" ref="E51:E56" si="20">+F51+G51+X51</f>
        <v>7.7880000000000003</v>
      </c>
      <c r="F51" s="43">
        <v>4.9800000000000004</v>
      </c>
      <c r="G51" s="353">
        <f t="shared" ref="G51:G56" si="21">+SUM(H51:W51)</f>
        <v>1.62</v>
      </c>
      <c r="H51" s="39"/>
      <c r="I51" s="39">
        <v>0.3</v>
      </c>
      <c r="J51" s="39"/>
      <c r="K51" s="39"/>
      <c r="L51" s="39"/>
      <c r="M51" s="39"/>
      <c r="N51" s="39"/>
      <c r="O51" s="39"/>
      <c r="P51" s="39"/>
      <c r="Q51" s="39"/>
      <c r="R51" s="39"/>
      <c r="S51" s="39"/>
      <c r="T51" s="39">
        <f t="shared" ref="T51:T56" si="22">(F51+I51+J51)*25/100</f>
        <v>1.32</v>
      </c>
      <c r="U51" s="39"/>
      <c r="V51" s="39"/>
      <c r="W51" s="39"/>
      <c r="X51" s="39">
        <f t="shared" ref="X51:X56" si="23">(F51+I51+J51+K51)*22.5/100</f>
        <v>1.1880000000000002</v>
      </c>
      <c r="Y51" s="32">
        <f t="shared" ref="Y51:Y56" si="24">E51*100000</f>
        <v>778800</v>
      </c>
      <c r="Z51" s="32">
        <f t="shared" si="8"/>
        <v>4672800</v>
      </c>
    </row>
    <row r="52" spans="1:26" s="10" customFormat="1" ht="27.75" customHeight="1">
      <c r="A52" s="184">
        <v>2</v>
      </c>
      <c r="B52" s="12" t="s">
        <v>118</v>
      </c>
      <c r="C52" s="30"/>
      <c r="D52" s="30"/>
      <c r="E52" s="37">
        <f t="shared" si="20"/>
        <v>4.72</v>
      </c>
      <c r="F52" s="43">
        <v>3</v>
      </c>
      <c r="G52" s="353">
        <f t="shared" si="21"/>
        <v>1</v>
      </c>
      <c r="H52" s="39"/>
      <c r="I52" s="39">
        <v>0.2</v>
      </c>
      <c r="J52" s="39"/>
      <c r="K52" s="39"/>
      <c r="L52" s="39"/>
      <c r="M52" s="39"/>
      <c r="N52" s="39"/>
      <c r="O52" s="39"/>
      <c r="P52" s="39"/>
      <c r="Q52" s="39"/>
      <c r="R52" s="39"/>
      <c r="S52" s="39"/>
      <c r="T52" s="39">
        <f t="shared" si="22"/>
        <v>0.8</v>
      </c>
      <c r="U52" s="39"/>
      <c r="V52" s="39"/>
      <c r="W52" s="39"/>
      <c r="X52" s="39">
        <f t="shared" si="23"/>
        <v>0.72</v>
      </c>
      <c r="Y52" s="32">
        <f t="shared" si="24"/>
        <v>472000</v>
      </c>
      <c r="Z52" s="32">
        <f t="shared" si="8"/>
        <v>2832000</v>
      </c>
    </row>
    <row r="53" spans="1:26" s="10" customFormat="1" ht="27.75" customHeight="1">
      <c r="A53" s="184">
        <v>3</v>
      </c>
      <c r="B53" s="12" t="s">
        <v>119</v>
      </c>
      <c r="C53" s="30"/>
      <c r="D53" s="30"/>
      <c r="E53" s="37">
        <f t="shared" si="20"/>
        <v>4.72</v>
      </c>
      <c r="F53" s="43">
        <v>3</v>
      </c>
      <c r="G53" s="353">
        <f t="shared" si="21"/>
        <v>1</v>
      </c>
      <c r="H53" s="39"/>
      <c r="I53" s="39">
        <v>0.2</v>
      </c>
      <c r="J53" s="39"/>
      <c r="K53" s="39"/>
      <c r="L53" s="39"/>
      <c r="M53" s="39"/>
      <c r="N53" s="39"/>
      <c r="O53" s="39"/>
      <c r="P53" s="39"/>
      <c r="Q53" s="39"/>
      <c r="R53" s="39"/>
      <c r="S53" s="39"/>
      <c r="T53" s="39">
        <f t="shared" si="22"/>
        <v>0.8</v>
      </c>
      <c r="U53" s="39"/>
      <c r="V53" s="39"/>
      <c r="W53" s="39"/>
      <c r="X53" s="39">
        <f t="shared" si="23"/>
        <v>0.72</v>
      </c>
      <c r="Y53" s="32">
        <f t="shared" si="24"/>
        <v>472000</v>
      </c>
      <c r="Z53" s="32">
        <f t="shared" si="8"/>
        <v>2832000</v>
      </c>
    </row>
    <row r="54" spans="1:26" s="10" customFormat="1" ht="27.75" customHeight="1">
      <c r="A54" s="184">
        <v>4</v>
      </c>
      <c r="B54" s="12" t="s">
        <v>120</v>
      </c>
      <c r="C54" s="30"/>
      <c r="D54" s="30"/>
      <c r="E54" s="37">
        <f t="shared" si="20"/>
        <v>4.4249999999999998</v>
      </c>
      <c r="F54" s="43">
        <v>3</v>
      </c>
      <c r="G54" s="353">
        <f t="shared" si="21"/>
        <v>0.75</v>
      </c>
      <c r="H54" s="39"/>
      <c r="I54" s="39"/>
      <c r="J54" s="39"/>
      <c r="K54" s="39"/>
      <c r="L54" s="39"/>
      <c r="M54" s="39"/>
      <c r="N54" s="39"/>
      <c r="O54" s="39"/>
      <c r="P54" s="39"/>
      <c r="Q54" s="39"/>
      <c r="R54" s="39"/>
      <c r="S54" s="39"/>
      <c r="T54" s="39">
        <f t="shared" si="22"/>
        <v>0.75</v>
      </c>
      <c r="U54" s="39"/>
      <c r="V54" s="39"/>
      <c r="W54" s="39"/>
      <c r="X54" s="39">
        <f t="shared" si="23"/>
        <v>0.67500000000000004</v>
      </c>
      <c r="Y54" s="32">
        <f t="shared" si="24"/>
        <v>442500</v>
      </c>
      <c r="Z54" s="32">
        <f t="shared" si="8"/>
        <v>2655000</v>
      </c>
    </row>
    <row r="55" spans="1:26" s="10" customFormat="1" ht="27.75" customHeight="1">
      <c r="A55" s="184">
        <v>5</v>
      </c>
      <c r="B55" s="12" t="s">
        <v>121</v>
      </c>
      <c r="C55" s="30"/>
      <c r="D55" s="30"/>
      <c r="E55" s="37">
        <f t="shared" si="20"/>
        <v>4.4249999999999998</v>
      </c>
      <c r="F55" s="43">
        <v>3</v>
      </c>
      <c r="G55" s="353">
        <f t="shared" si="21"/>
        <v>0.75</v>
      </c>
      <c r="H55" s="39"/>
      <c r="I55" s="39"/>
      <c r="J55" s="39"/>
      <c r="K55" s="39"/>
      <c r="L55" s="39"/>
      <c r="M55" s="39"/>
      <c r="N55" s="39"/>
      <c r="O55" s="39"/>
      <c r="P55" s="39"/>
      <c r="Q55" s="39"/>
      <c r="R55" s="39"/>
      <c r="S55" s="39"/>
      <c r="T55" s="39">
        <f t="shared" si="22"/>
        <v>0.75</v>
      </c>
      <c r="U55" s="39"/>
      <c r="V55" s="39"/>
      <c r="W55" s="39"/>
      <c r="X55" s="39">
        <f t="shared" si="23"/>
        <v>0.67500000000000004</v>
      </c>
      <c r="Y55" s="32">
        <f t="shared" si="24"/>
        <v>442500</v>
      </c>
      <c r="Z55" s="32">
        <f t="shared" si="8"/>
        <v>2655000</v>
      </c>
    </row>
    <row r="56" spans="1:26" s="10" customFormat="1" ht="27.75" customHeight="1">
      <c r="A56" s="184">
        <v>6</v>
      </c>
      <c r="B56" s="12" t="s">
        <v>188</v>
      </c>
      <c r="C56" s="30"/>
      <c r="D56" s="30"/>
      <c r="E56" s="37">
        <f t="shared" si="20"/>
        <v>3.93825</v>
      </c>
      <c r="F56" s="43">
        <v>2.67</v>
      </c>
      <c r="G56" s="353">
        <f t="shared" si="21"/>
        <v>0.66749999999999998</v>
      </c>
      <c r="H56" s="39"/>
      <c r="I56" s="39"/>
      <c r="J56" s="39"/>
      <c r="K56" s="39"/>
      <c r="L56" s="39"/>
      <c r="M56" s="39"/>
      <c r="N56" s="39"/>
      <c r="O56" s="39"/>
      <c r="P56" s="39"/>
      <c r="Q56" s="39"/>
      <c r="R56" s="39"/>
      <c r="S56" s="39"/>
      <c r="T56" s="39">
        <f t="shared" si="22"/>
        <v>0.66749999999999998</v>
      </c>
      <c r="U56" s="39"/>
      <c r="V56" s="39"/>
      <c r="W56" s="39"/>
      <c r="X56" s="39">
        <f t="shared" si="23"/>
        <v>0.60075000000000001</v>
      </c>
      <c r="Y56" s="32">
        <f t="shared" si="24"/>
        <v>393825</v>
      </c>
      <c r="Z56" s="32">
        <f t="shared" si="8"/>
        <v>2362950</v>
      </c>
    </row>
    <row r="57" spans="1:26" s="10" customFormat="1" ht="27.75" customHeight="1">
      <c r="A57" s="4" t="s">
        <v>545</v>
      </c>
      <c r="B57" s="18" t="s">
        <v>129</v>
      </c>
      <c r="C57" s="30">
        <v>8</v>
      </c>
      <c r="D57" s="30">
        <v>6</v>
      </c>
      <c r="E57" s="40">
        <f t="shared" ref="E57:Z57" si="25">SUM(E58:E63)</f>
        <v>26.343500000000002</v>
      </c>
      <c r="F57" s="63">
        <f t="shared" si="25"/>
        <v>17.66</v>
      </c>
      <c r="G57" s="63">
        <f t="shared" si="25"/>
        <v>4.665</v>
      </c>
      <c r="H57" s="63">
        <f t="shared" si="25"/>
        <v>0</v>
      </c>
      <c r="I57" s="63">
        <f t="shared" si="25"/>
        <v>0.2</v>
      </c>
      <c r="J57" s="63">
        <f t="shared" si="25"/>
        <v>0</v>
      </c>
      <c r="K57" s="63">
        <f t="shared" si="25"/>
        <v>0</v>
      </c>
      <c r="L57" s="63">
        <f t="shared" si="25"/>
        <v>0</v>
      </c>
      <c r="M57" s="63">
        <f t="shared" si="25"/>
        <v>0</v>
      </c>
      <c r="N57" s="63">
        <f t="shared" si="25"/>
        <v>0</v>
      </c>
      <c r="O57" s="63">
        <f t="shared" si="25"/>
        <v>0</v>
      </c>
      <c r="P57" s="63">
        <f t="shared" si="25"/>
        <v>0</v>
      </c>
      <c r="Q57" s="63">
        <f t="shared" si="25"/>
        <v>0</v>
      </c>
      <c r="R57" s="63">
        <f t="shared" si="25"/>
        <v>0</v>
      </c>
      <c r="S57" s="63">
        <f t="shared" si="25"/>
        <v>0</v>
      </c>
      <c r="T57" s="63">
        <f t="shared" si="25"/>
        <v>4.4649999999999999</v>
      </c>
      <c r="U57" s="63">
        <f t="shared" si="25"/>
        <v>0</v>
      </c>
      <c r="V57" s="63">
        <f t="shared" si="25"/>
        <v>0</v>
      </c>
      <c r="W57" s="63">
        <f t="shared" si="25"/>
        <v>0</v>
      </c>
      <c r="X57" s="63">
        <f t="shared" si="25"/>
        <v>4.0184999999999995</v>
      </c>
      <c r="Y57" s="33">
        <f t="shared" si="25"/>
        <v>2634350</v>
      </c>
      <c r="Z57" s="33">
        <f t="shared" si="25"/>
        <v>15806100</v>
      </c>
    </row>
    <row r="58" spans="1:26" s="10" customFormat="1" ht="27.75" customHeight="1">
      <c r="A58" s="184">
        <v>1</v>
      </c>
      <c r="B58" s="12" t="s">
        <v>131</v>
      </c>
      <c r="C58" s="30"/>
      <c r="D58" s="30"/>
      <c r="E58" s="37">
        <f t="shared" ref="E58:E63" si="26">+F58+G58+X58</f>
        <v>4.72</v>
      </c>
      <c r="F58" s="43">
        <v>3</v>
      </c>
      <c r="G58" s="353">
        <f t="shared" ref="G58:G63" si="27">+SUM(H58:W58)</f>
        <v>1</v>
      </c>
      <c r="H58" s="39"/>
      <c r="I58" s="39">
        <v>0.2</v>
      </c>
      <c r="J58" s="39"/>
      <c r="K58" s="39"/>
      <c r="L58" s="39"/>
      <c r="M58" s="39"/>
      <c r="N58" s="39"/>
      <c r="O58" s="39"/>
      <c r="P58" s="39"/>
      <c r="Q58" s="39"/>
      <c r="R58" s="39"/>
      <c r="S58" s="39"/>
      <c r="T58" s="39">
        <f t="shared" ref="T58:T63" si="28">(F58+I58+J58)*25/100</f>
        <v>0.8</v>
      </c>
      <c r="U58" s="39"/>
      <c r="V58" s="39"/>
      <c r="W58" s="39"/>
      <c r="X58" s="39">
        <f t="shared" ref="X58:X63" si="29">(F58+I58+J58+K58)*22.5/100</f>
        <v>0.72</v>
      </c>
      <c r="Y58" s="32">
        <f t="shared" ref="Y58:Y63" si="30">E58*100000</f>
        <v>472000</v>
      </c>
      <c r="Z58" s="32">
        <f t="shared" si="8"/>
        <v>2832000</v>
      </c>
    </row>
    <row r="59" spans="1:26" s="10" customFormat="1" ht="27.75" customHeight="1">
      <c r="A59" s="184">
        <v>2</v>
      </c>
      <c r="B59" s="122" t="s">
        <v>132</v>
      </c>
      <c r="C59" s="30"/>
      <c r="D59" s="30"/>
      <c r="E59" s="37">
        <f t="shared" si="26"/>
        <v>3.9235000000000002</v>
      </c>
      <c r="F59" s="43">
        <v>2.66</v>
      </c>
      <c r="G59" s="353">
        <f t="shared" si="27"/>
        <v>0.66500000000000004</v>
      </c>
      <c r="H59" s="39"/>
      <c r="I59" s="39"/>
      <c r="J59" s="39"/>
      <c r="K59" s="39"/>
      <c r="L59" s="39"/>
      <c r="M59" s="39"/>
      <c r="N59" s="39"/>
      <c r="O59" s="39"/>
      <c r="P59" s="39"/>
      <c r="Q59" s="39"/>
      <c r="R59" s="39"/>
      <c r="S59" s="39"/>
      <c r="T59" s="39">
        <f t="shared" si="28"/>
        <v>0.66500000000000004</v>
      </c>
      <c r="U59" s="39"/>
      <c r="V59" s="39"/>
      <c r="W59" s="39"/>
      <c r="X59" s="39">
        <f t="shared" si="29"/>
        <v>0.59850000000000003</v>
      </c>
      <c r="Y59" s="32">
        <f t="shared" si="30"/>
        <v>392350</v>
      </c>
      <c r="Z59" s="32">
        <f t="shared" si="8"/>
        <v>2354100</v>
      </c>
    </row>
    <row r="60" spans="1:26" s="10" customFormat="1" ht="27.75" customHeight="1">
      <c r="A60" s="184">
        <v>3</v>
      </c>
      <c r="B60" s="12" t="s">
        <v>133</v>
      </c>
      <c r="C60" s="30"/>
      <c r="D60" s="30"/>
      <c r="E60" s="37">
        <f t="shared" si="26"/>
        <v>4.4249999999999998</v>
      </c>
      <c r="F60" s="43">
        <v>3</v>
      </c>
      <c r="G60" s="353">
        <f t="shared" si="27"/>
        <v>0.75</v>
      </c>
      <c r="H60" s="39"/>
      <c r="I60" s="39"/>
      <c r="J60" s="39"/>
      <c r="K60" s="39"/>
      <c r="L60" s="39"/>
      <c r="M60" s="39"/>
      <c r="N60" s="39"/>
      <c r="O60" s="39"/>
      <c r="P60" s="39"/>
      <c r="Q60" s="39"/>
      <c r="R60" s="39"/>
      <c r="S60" s="39"/>
      <c r="T60" s="39">
        <f t="shared" si="28"/>
        <v>0.75</v>
      </c>
      <c r="U60" s="39"/>
      <c r="V60" s="39"/>
      <c r="W60" s="39"/>
      <c r="X60" s="39">
        <f t="shared" si="29"/>
        <v>0.67500000000000004</v>
      </c>
      <c r="Y60" s="32">
        <f t="shared" si="30"/>
        <v>442500</v>
      </c>
      <c r="Z60" s="32">
        <f t="shared" si="8"/>
        <v>2655000</v>
      </c>
    </row>
    <row r="61" spans="1:26" s="10" customFormat="1" ht="27.75" customHeight="1">
      <c r="A61" s="184">
        <v>4</v>
      </c>
      <c r="B61" s="12" t="s">
        <v>134</v>
      </c>
      <c r="C61" s="30"/>
      <c r="D61" s="30"/>
      <c r="E61" s="37">
        <f t="shared" si="26"/>
        <v>4.4249999999999998</v>
      </c>
      <c r="F61" s="43">
        <v>3</v>
      </c>
      <c r="G61" s="353">
        <f t="shared" si="27"/>
        <v>0.75</v>
      </c>
      <c r="H61" s="39"/>
      <c r="I61" s="39"/>
      <c r="J61" s="39"/>
      <c r="K61" s="39"/>
      <c r="L61" s="39"/>
      <c r="M61" s="39"/>
      <c r="N61" s="39"/>
      <c r="O61" s="39"/>
      <c r="P61" s="39"/>
      <c r="Q61" s="39"/>
      <c r="R61" s="39"/>
      <c r="S61" s="39"/>
      <c r="T61" s="39">
        <f t="shared" si="28"/>
        <v>0.75</v>
      </c>
      <c r="U61" s="39"/>
      <c r="V61" s="39"/>
      <c r="W61" s="39"/>
      <c r="X61" s="39">
        <f t="shared" si="29"/>
        <v>0.67500000000000004</v>
      </c>
      <c r="Y61" s="32">
        <f t="shared" si="30"/>
        <v>442500</v>
      </c>
      <c r="Z61" s="32">
        <f t="shared" si="8"/>
        <v>2655000</v>
      </c>
    </row>
    <row r="62" spans="1:26" s="10" customFormat="1" ht="27.75" customHeight="1">
      <c r="A62" s="184">
        <v>5</v>
      </c>
      <c r="B62" s="12" t="s">
        <v>135</v>
      </c>
      <c r="C62" s="30"/>
      <c r="D62" s="30"/>
      <c r="E62" s="37">
        <f t="shared" si="26"/>
        <v>4.4249999999999998</v>
      </c>
      <c r="F62" s="43">
        <v>3</v>
      </c>
      <c r="G62" s="353">
        <f t="shared" si="27"/>
        <v>0.75</v>
      </c>
      <c r="H62" s="39"/>
      <c r="I62" s="39"/>
      <c r="J62" s="39"/>
      <c r="K62" s="39"/>
      <c r="L62" s="39"/>
      <c r="M62" s="39"/>
      <c r="N62" s="39"/>
      <c r="O62" s="39"/>
      <c r="P62" s="39"/>
      <c r="Q62" s="39"/>
      <c r="R62" s="39"/>
      <c r="S62" s="39"/>
      <c r="T62" s="39">
        <f t="shared" si="28"/>
        <v>0.75</v>
      </c>
      <c r="U62" s="39"/>
      <c r="V62" s="39"/>
      <c r="W62" s="39"/>
      <c r="X62" s="39">
        <f t="shared" si="29"/>
        <v>0.67500000000000004</v>
      </c>
      <c r="Y62" s="32">
        <f t="shared" si="30"/>
        <v>442500</v>
      </c>
      <c r="Z62" s="32">
        <f t="shared" si="8"/>
        <v>2655000</v>
      </c>
    </row>
    <row r="63" spans="1:26" s="10" customFormat="1" ht="27.75" customHeight="1">
      <c r="A63" s="184">
        <v>6</v>
      </c>
      <c r="B63" s="12" t="s">
        <v>136</v>
      </c>
      <c r="C63" s="30"/>
      <c r="D63" s="30"/>
      <c r="E63" s="37">
        <f t="shared" si="26"/>
        <v>4.4249999999999998</v>
      </c>
      <c r="F63" s="43">
        <v>3</v>
      </c>
      <c r="G63" s="353">
        <f t="shared" si="27"/>
        <v>0.75</v>
      </c>
      <c r="H63" s="39"/>
      <c r="I63" s="39"/>
      <c r="J63" s="39"/>
      <c r="K63" s="39"/>
      <c r="L63" s="39"/>
      <c r="M63" s="39"/>
      <c r="N63" s="39"/>
      <c r="O63" s="39"/>
      <c r="P63" s="39"/>
      <c r="Q63" s="39"/>
      <c r="R63" s="39"/>
      <c r="S63" s="39"/>
      <c r="T63" s="39">
        <f t="shared" si="28"/>
        <v>0.75</v>
      </c>
      <c r="U63" s="39"/>
      <c r="V63" s="39"/>
      <c r="W63" s="39"/>
      <c r="X63" s="39">
        <f t="shared" si="29"/>
        <v>0.67500000000000004</v>
      </c>
      <c r="Y63" s="32">
        <f t="shared" si="30"/>
        <v>442500</v>
      </c>
      <c r="Z63" s="32">
        <f t="shared" si="8"/>
        <v>2655000</v>
      </c>
    </row>
    <row r="64" spans="1:26" s="10" customFormat="1" ht="31.5" customHeight="1">
      <c r="A64" s="4" t="s">
        <v>546</v>
      </c>
      <c r="B64" s="18" t="s">
        <v>172</v>
      </c>
      <c r="C64" s="30">
        <v>7</v>
      </c>
      <c r="D64" s="30">
        <v>5</v>
      </c>
      <c r="E64" s="40">
        <f>SUM(E65:E69)</f>
        <v>23.921250000000001</v>
      </c>
      <c r="F64" s="63">
        <f>SUM(F65:F69)</f>
        <v>15.65</v>
      </c>
      <c r="G64" s="63">
        <f>SUM(G65:G69)</f>
        <v>4.6375000000000002</v>
      </c>
      <c r="H64" s="63">
        <f>SUM(H65:H69)</f>
        <v>0</v>
      </c>
      <c r="I64" s="63">
        <f>SUM(I65:I69)</f>
        <v>0.5</v>
      </c>
      <c r="J64" s="39"/>
      <c r="K64" s="39"/>
      <c r="L64" s="39"/>
      <c r="M64" s="39"/>
      <c r="N64" s="39"/>
      <c r="O64" s="39"/>
      <c r="P64" s="39"/>
      <c r="Q64" s="39"/>
      <c r="R64" s="39"/>
      <c r="S64" s="39"/>
      <c r="T64" s="63">
        <f t="shared" ref="T64:Z64" si="31">SUM(T65:T69)</f>
        <v>4.0374999999999996</v>
      </c>
      <c r="U64" s="63">
        <f t="shared" si="31"/>
        <v>0</v>
      </c>
      <c r="V64" s="63">
        <f t="shared" si="31"/>
        <v>0.1</v>
      </c>
      <c r="W64" s="63">
        <f t="shared" si="31"/>
        <v>0</v>
      </c>
      <c r="X64" s="63">
        <f t="shared" si="31"/>
        <v>3.63375</v>
      </c>
      <c r="Y64" s="33">
        <f t="shared" si="31"/>
        <v>2392125</v>
      </c>
      <c r="Z64" s="33">
        <f t="shared" si="31"/>
        <v>14352750.000000002</v>
      </c>
    </row>
    <row r="65" spans="1:26" s="10" customFormat="1" ht="27.75" customHeight="1">
      <c r="A65" s="184">
        <v>1</v>
      </c>
      <c r="B65" s="14" t="s">
        <v>173</v>
      </c>
      <c r="C65" s="30"/>
      <c r="D65" s="30"/>
      <c r="E65" s="37">
        <f>+F65+G65+X65</f>
        <v>6.8145000000000007</v>
      </c>
      <c r="F65" s="43">
        <v>4.32</v>
      </c>
      <c r="G65" s="353">
        <f t="shared" ref="G65:G76" si="32">+SUM(H65:W65)</f>
        <v>1.4550000000000001</v>
      </c>
      <c r="H65" s="39"/>
      <c r="I65" s="39">
        <v>0.3</v>
      </c>
      <c r="J65" s="39"/>
      <c r="K65" s="39"/>
      <c r="L65" s="39"/>
      <c r="M65" s="39"/>
      <c r="N65" s="39"/>
      <c r="O65" s="39"/>
      <c r="P65" s="39"/>
      <c r="Q65" s="39"/>
      <c r="R65" s="39"/>
      <c r="S65" s="39"/>
      <c r="T65" s="39">
        <f>(F65+I65+J65)*25/100</f>
        <v>1.155</v>
      </c>
      <c r="U65" s="39"/>
      <c r="V65" s="39"/>
      <c r="W65" s="39"/>
      <c r="X65" s="39">
        <f>(F65+I65+J65+K65)*22.5/100</f>
        <v>1.0395000000000001</v>
      </c>
      <c r="Y65" s="32">
        <f>E65*100000</f>
        <v>681450.00000000012</v>
      </c>
      <c r="Z65" s="32">
        <f t="shared" si="8"/>
        <v>4088700.0000000009</v>
      </c>
    </row>
    <row r="66" spans="1:26" s="10" customFormat="1" ht="27.75" customHeight="1">
      <c r="A66" s="184">
        <v>2</v>
      </c>
      <c r="B66" s="14" t="s">
        <v>669</v>
      </c>
      <c r="C66" s="30"/>
      <c r="D66" s="30"/>
      <c r="E66" s="37">
        <f>+F66+G66+X66</f>
        <v>4.72</v>
      </c>
      <c r="F66" s="43">
        <v>3</v>
      </c>
      <c r="G66" s="353">
        <f t="shared" si="32"/>
        <v>1</v>
      </c>
      <c r="H66" s="39"/>
      <c r="I66" s="39">
        <v>0.2</v>
      </c>
      <c r="J66" s="39"/>
      <c r="K66" s="39"/>
      <c r="L66" s="39"/>
      <c r="M66" s="39"/>
      <c r="N66" s="39"/>
      <c r="O66" s="39"/>
      <c r="P66" s="39"/>
      <c r="Q66" s="39"/>
      <c r="R66" s="39"/>
      <c r="S66" s="39"/>
      <c r="T66" s="39">
        <f>(F66+I66+J66)*25/100</f>
        <v>0.8</v>
      </c>
      <c r="U66" s="39"/>
      <c r="V66" s="39"/>
      <c r="W66" s="39"/>
      <c r="X66" s="39">
        <f>(F66+I66+J66+K66)*22.5/100</f>
        <v>0.72</v>
      </c>
      <c r="Y66" s="32">
        <f>E66*100000</f>
        <v>472000</v>
      </c>
      <c r="Z66" s="32">
        <f t="shared" si="8"/>
        <v>2832000</v>
      </c>
    </row>
    <row r="67" spans="1:26" s="10" customFormat="1" ht="27.75" customHeight="1">
      <c r="A67" s="184">
        <v>3</v>
      </c>
      <c r="B67" s="14" t="s">
        <v>174</v>
      </c>
      <c r="C67" s="30"/>
      <c r="D67" s="30"/>
      <c r="E67" s="37">
        <f>+F67+G67+X67</f>
        <v>4.5250000000000004</v>
      </c>
      <c r="F67" s="43">
        <v>3</v>
      </c>
      <c r="G67" s="353">
        <f t="shared" si="32"/>
        <v>0.85</v>
      </c>
      <c r="H67" s="39"/>
      <c r="I67" s="39"/>
      <c r="J67" s="39"/>
      <c r="K67" s="39"/>
      <c r="L67" s="39"/>
      <c r="M67" s="39"/>
      <c r="N67" s="39"/>
      <c r="O67" s="39"/>
      <c r="P67" s="39"/>
      <c r="Q67" s="39"/>
      <c r="R67" s="39"/>
      <c r="S67" s="39"/>
      <c r="T67" s="39">
        <f>(F67+I67+J67)*25/100</f>
        <v>0.75</v>
      </c>
      <c r="U67" s="39"/>
      <c r="V67" s="39">
        <v>0.1</v>
      </c>
      <c r="W67" s="39"/>
      <c r="X67" s="39">
        <f>(F67+I67+J67+K67)*22.5/100</f>
        <v>0.67500000000000004</v>
      </c>
      <c r="Y67" s="32">
        <f>E67*100000</f>
        <v>452500.00000000006</v>
      </c>
      <c r="Z67" s="32">
        <f t="shared" si="8"/>
        <v>2715000.0000000005</v>
      </c>
    </row>
    <row r="68" spans="1:26" s="10" customFormat="1" ht="27.75" customHeight="1">
      <c r="A68" s="184">
        <v>4</v>
      </c>
      <c r="B68" s="14" t="s">
        <v>175</v>
      </c>
      <c r="C68" s="30"/>
      <c r="D68" s="30"/>
      <c r="E68" s="37">
        <f>+F68+G68+X68</f>
        <v>3.9235000000000002</v>
      </c>
      <c r="F68" s="43">
        <v>2.66</v>
      </c>
      <c r="G68" s="353">
        <f t="shared" si="32"/>
        <v>0.66500000000000004</v>
      </c>
      <c r="H68" s="39"/>
      <c r="I68" s="39"/>
      <c r="J68" s="39"/>
      <c r="K68" s="39"/>
      <c r="L68" s="39"/>
      <c r="M68" s="39"/>
      <c r="N68" s="39"/>
      <c r="O68" s="39"/>
      <c r="P68" s="39"/>
      <c r="Q68" s="39"/>
      <c r="R68" s="39"/>
      <c r="S68" s="39"/>
      <c r="T68" s="39">
        <f>(F68+I68+J68)*25/100</f>
        <v>0.66500000000000004</v>
      </c>
      <c r="U68" s="39"/>
      <c r="V68" s="39"/>
      <c r="W68" s="39"/>
      <c r="X68" s="39">
        <f>(F68+I68+J68+K68)*22.5/100</f>
        <v>0.59850000000000003</v>
      </c>
      <c r="Y68" s="32">
        <f>E68*100000</f>
        <v>392350</v>
      </c>
      <c r="Z68" s="32">
        <f t="shared" si="8"/>
        <v>2354100</v>
      </c>
    </row>
    <row r="69" spans="1:26" s="10" customFormat="1" ht="27.75" customHeight="1">
      <c r="A69" s="184">
        <v>5</v>
      </c>
      <c r="B69" s="14" t="s">
        <v>670</v>
      </c>
      <c r="C69" s="30"/>
      <c r="D69" s="30"/>
      <c r="E69" s="37">
        <f>+F69+G69+X69</f>
        <v>3.93825</v>
      </c>
      <c r="F69" s="43">
        <v>2.67</v>
      </c>
      <c r="G69" s="353">
        <f t="shared" si="32"/>
        <v>0.66749999999999998</v>
      </c>
      <c r="H69" s="39"/>
      <c r="I69" s="39"/>
      <c r="J69" s="39"/>
      <c r="K69" s="39"/>
      <c r="L69" s="39"/>
      <c r="M69" s="39"/>
      <c r="N69" s="39"/>
      <c r="O69" s="39"/>
      <c r="P69" s="39"/>
      <c r="Q69" s="39"/>
      <c r="R69" s="39"/>
      <c r="S69" s="39"/>
      <c r="T69" s="39">
        <f>(F69+I69+J69)*25/100</f>
        <v>0.66749999999999998</v>
      </c>
      <c r="U69" s="39"/>
      <c r="V69" s="39"/>
      <c r="W69" s="39"/>
      <c r="X69" s="39">
        <f>(F69+I69+J69+K69)*22.5/100</f>
        <v>0.60075000000000001</v>
      </c>
      <c r="Y69" s="32">
        <f>E69*100000</f>
        <v>393825</v>
      </c>
      <c r="Z69" s="32">
        <f t="shared" si="8"/>
        <v>2362950</v>
      </c>
    </row>
    <row r="70" spans="1:26" s="10" customFormat="1" ht="27.75" customHeight="1">
      <c r="A70" s="4" t="s">
        <v>547</v>
      </c>
      <c r="B70" s="18" t="s">
        <v>548</v>
      </c>
      <c r="C70" s="30">
        <v>8</v>
      </c>
      <c r="D70" s="30">
        <v>6</v>
      </c>
      <c r="E70" s="40">
        <f t="shared" ref="E70:Z70" si="33">SUM(E71:E76)</f>
        <v>35.762250000000002</v>
      </c>
      <c r="F70" s="63">
        <f t="shared" si="33"/>
        <v>23.61</v>
      </c>
      <c r="G70" s="63">
        <f t="shared" si="33"/>
        <v>6.7275</v>
      </c>
      <c r="H70" s="63">
        <f t="shared" si="33"/>
        <v>0</v>
      </c>
      <c r="I70" s="63">
        <f t="shared" si="33"/>
        <v>0.5</v>
      </c>
      <c r="J70" s="63">
        <f t="shared" si="33"/>
        <v>0</v>
      </c>
      <c r="K70" s="63">
        <f t="shared" si="33"/>
        <v>0</v>
      </c>
      <c r="L70" s="63">
        <f t="shared" si="33"/>
        <v>0</v>
      </c>
      <c r="M70" s="63">
        <f t="shared" si="33"/>
        <v>0</v>
      </c>
      <c r="N70" s="63">
        <f t="shared" si="33"/>
        <v>0</v>
      </c>
      <c r="O70" s="63">
        <f t="shared" si="33"/>
        <v>0</v>
      </c>
      <c r="P70" s="63">
        <f t="shared" si="33"/>
        <v>0</v>
      </c>
      <c r="Q70" s="63">
        <f t="shared" si="33"/>
        <v>0</v>
      </c>
      <c r="R70" s="63">
        <f t="shared" si="33"/>
        <v>0</v>
      </c>
      <c r="S70" s="63">
        <f t="shared" si="33"/>
        <v>0</v>
      </c>
      <c r="T70" s="63">
        <f t="shared" si="33"/>
        <v>6.0274999999999999</v>
      </c>
      <c r="U70" s="63">
        <f t="shared" si="33"/>
        <v>0</v>
      </c>
      <c r="V70" s="63">
        <f t="shared" si="33"/>
        <v>0.2</v>
      </c>
      <c r="W70" s="63">
        <f t="shared" si="33"/>
        <v>0</v>
      </c>
      <c r="X70" s="63">
        <f t="shared" si="33"/>
        <v>5.4247500000000004</v>
      </c>
      <c r="Y70" s="33">
        <f t="shared" si="33"/>
        <v>3576225</v>
      </c>
      <c r="Z70" s="33">
        <f t="shared" si="33"/>
        <v>21457350</v>
      </c>
    </row>
    <row r="71" spans="1:26" s="10" customFormat="1" ht="27.75" customHeight="1">
      <c r="A71" s="185">
        <v>1</v>
      </c>
      <c r="B71" s="14" t="s">
        <v>549</v>
      </c>
      <c r="C71" s="30"/>
      <c r="D71" s="30"/>
      <c r="E71" s="37">
        <f t="shared" ref="E71:E76" si="34">+F71+G71+X71</f>
        <v>7.7880000000000003</v>
      </c>
      <c r="F71" s="43">
        <v>4.9800000000000004</v>
      </c>
      <c r="G71" s="353">
        <f t="shared" si="32"/>
        <v>1.62</v>
      </c>
      <c r="H71" s="39"/>
      <c r="I71" s="39">
        <v>0.3</v>
      </c>
      <c r="J71" s="39"/>
      <c r="K71" s="39"/>
      <c r="L71" s="39"/>
      <c r="M71" s="39"/>
      <c r="N71" s="39"/>
      <c r="O71" s="39"/>
      <c r="P71" s="39"/>
      <c r="Q71" s="39"/>
      <c r="R71" s="39"/>
      <c r="S71" s="39"/>
      <c r="T71" s="39">
        <f t="shared" ref="T71:T76" si="35">(F71+I71+J71)*25/100</f>
        <v>1.32</v>
      </c>
      <c r="U71" s="39"/>
      <c r="V71" s="39"/>
      <c r="W71" s="39"/>
      <c r="X71" s="39">
        <f t="shared" ref="X71:X76" si="36">(F71+I71+J71+K71)*22.5/100</f>
        <v>1.1880000000000002</v>
      </c>
      <c r="Y71" s="32">
        <f t="shared" ref="Y71:Y76" si="37">E71*100000</f>
        <v>778800</v>
      </c>
      <c r="Z71" s="32">
        <f t="shared" si="8"/>
        <v>4672800</v>
      </c>
    </row>
    <row r="72" spans="1:26" s="10" customFormat="1" ht="27.75" customHeight="1">
      <c r="A72" s="185">
        <v>2</v>
      </c>
      <c r="B72" s="14" t="s">
        <v>550</v>
      </c>
      <c r="C72" s="30"/>
      <c r="D72" s="30"/>
      <c r="E72" s="37">
        <f t="shared" si="34"/>
        <v>5.6935000000000002</v>
      </c>
      <c r="F72" s="43">
        <v>3.66</v>
      </c>
      <c r="G72" s="353">
        <f t="shared" si="32"/>
        <v>1.1650000000000003</v>
      </c>
      <c r="H72" s="39"/>
      <c r="I72" s="39">
        <v>0.2</v>
      </c>
      <c r="J72" s="39"/>
      <c r="K72" s="39"/>
      <c r="L72" s="39"/>
      <c r="M72" s="39"/>
      <c r="N72" s="39"/>
      <c r="O72" s="39"/>
      <c r="P72" s="39"/>
      <c r="Q72" s="39"/>
      <c r="R72" s="39"/>
      <c r="S72" s="39"/>
      <c r="T72" s="39">
        <f t="shared" si="35"/>
        <v>0.96500000000000019</v>
      </c>
      <c r="U72" s="39"/>
      <c r="V72" s="39"/>
      <c r="W72" s="39"/>
      <c r="X72" s="39">
        <f t="shared" si="36"/>
        <v>0.86850000000000005</v>
      </c>
      <c r="Y72" s="32">
        <f t="shared" si="37"/>
        <v>569350</v>
      </c>
      <c r="Z72" s="32">
        <f t="shared" si="8"/>
        <v>3416100</v>
      </c>
    </row>
    <row r="73" spans="1:26" s="10" customFormat="1" ht="27.75" customHeight="1">
      <c r="A73" s="185">
        <v>3</v>
      </c>
      <c r="B73" s="14" t="s">
        <v>551</v>
      </c>
      <c r="C73" s="30"/>
      <c r="D73" s="30"/>
      <c r="E73" s="37">
        <f t="shared" si="34"/>
        <v>5.885250000000001</v>
      </c>
      <c r="F73" s="43">
        <v>3.99</v>
      </c>
      <c r="G73" s="353">
        <f t="shared" si="32"/>
        <v>0.99750000000000005</v>
      </c>
      <c r="H73" s="39"/>
      <c r="I73" s="39"/>
      <c r="J73" s="39"/>
      <c r="K73" s="39"/>
      <c r="L73" s="39"/>
      <c r="M73" s="39"/>
      <c r="N73" s="39"/>
      <c r="O73" s="39"/>
      <c r="P73" s="39"/>
      <c r="Q73" s="39"/>
      <c r="R73" s="39"/>
      <c r="S73" s="39"/>
      <c r="T73" s="39">
        <f t="shared" si="35"/>
        <v>0.99750000000000005</v>
      </c>
      <c r="U73" s="39"/>
      <c r="V73" s="39"/>
      <c r="W73" s="39"/>
      <c r="X73" s="39">
        <f t="shared" si="36"/>
        <v>0.89775000000000005</v>
      </c>
      <c r="Y73" s="32">
        <f t="shared" si="37"/>
        <v>588525.00000000012</v>
      </c>
      <c r="Z73" s="32">
        <f t="shared" si="8"/>
        <v>3531150.0000000009</v>
      </c>
    </row>
    <row r="74" spans="1:26" s="10" customFormat="1" ht="27.75" customHeight="1">
      <c r="A74" s="185">
        <v>4</v>
      </c>
      <c r="B74" s="14" t="s">
        <v>552</v>
      </c>
      <c r="C74" s="30"/>
      <c r="D74" s="30"/>
      <c r="E74" s="37">
        <f t="shared" si="34"/>
        <v>5.885250000000001</v>
      </c>
      <c r="F74" s="43">
        <v>3.99</v>
      </c>
      <c r="G74" s="353">
        <f t="shared" si="32"/>
        <v>0.99750000000000005</v>
      </c>
      <c r="H74" s="39"/>
      <c r="I74" s="39"/>
      <c r="J74" s="39"/>
      <c r="K74" s="39"/>
      <c r="L74" s="39"/>
      <c r="M74" s="39"/>
      <c r="N74" s="39"/>
      <c r="O74" s="39"/>
      <c r="P74" s="39"/>
      <c r="Q74" s="39"/>
      <c r="R74" s="39"/>
      <c r="S74" s="39"/>
      <c r="T74" s="39">
        <f t="shared" si="35"/>
        <v>0.99750000000000005</v>
      </c>
      <c r="U74" s="39"/>
      <c r="V74" s="39"/>
      <c r="W74" s="39"/>
      <c r="X74" s="39">
        <f t="shared" si="36"/>
        <v>0.89775000000000005</v>
      </c>
      <c r="Y74" s="32">
        <f t="shared" si="37"/>
        <v>588525.00000000012</v>
      </c>
      <c r="Z74" s="32">
        <f t="shared" si="8"/>
        <v>3531150.0000000009</v>
      </c>
    </row>
    <row r="75" spans="1:26" s="10" customFormat="1" ht="27.75" customHeight="1">
      <c r="A75" s="185">
        <v>5</v>
      </c>
      <c r="B75" s="14" t="s">
        <v>553</v>
      </c>
      <c r="C75" s="30"/>
      <c r="D75" s="30"/>
      <c r="E75" s="37">
        <f t="shared" si="34"/>
        <v>5.3985000000000003</v>
      </c>
      <c r="F75" s="43">
        <v>3.66</v>
      </c>
      <c r="G75" s="353">
        <f t="shared" si="32"/>
        <v>0.91500000000000004</v>
      </c>
      <c r="H75" s="39"/>
      <c r="I75" s="39"/>
      <c r="J75" s="39"/>
      <c r="K75" s="39"/>
      <c r="L75" s="39"/>
      <c r="M75" s="39"/>
      <c r="N75" s="39"/>
      <c r="O75" s="39"/>
      <c r="P75" s="39"/>
      <c r="Q75" s="39"/>
      <c r="R75" s="39"/>
      <c r="S75" s="39"/>
      <c r="T75" s="39">
        <f t="shared" si="35"/>
        <v>0.91500000000000004</v>
      </c>
      <c r="U75" s="39"/>
      <c r="V75" s="39"/>
      <c r="W75" s="39"/>
      <c r="X75" s="39">
        <f t="shared" si="36"/>
        <v>0.82350000000000012</v>
      </c>
      <c r="Y75" s="32">
        <f t="shared" si="37"/>
        <v>539850</v>
      </c>
      <c r="Z75" s="32">
        <f t="shared" si="8"/>
        <v>3239100</v>
      </c>
    </row>
    <row r="76" spans="1:26" s="10" customFormat="1" ht="27.75" customHeight="1">
      <c r="A76" s="185">
        <v>6</v>
      </c>
      <c r="B76" s="14" t="s">
        <v>554</v>
      </c>
      <c r="C76" s="30"/>
      <c r="D76" s="30"/>
      <c r="E76" s="37">
        <f t="shared" si="34"/>
        <v>5.1117499999999998</v>
      </c>
      <c r="F76" s="43">
        <v>3.33</v>
      </c>
      <c r="G76" s="353">
        <f t="shared" si="32"/>
        <v>1.0325</v>
      </c>
      <c r="H76" s="39"/>
      <c r="I76" s="39"/>
      <c r="J76" s="39"/>
      <c r="K76" s="39"/>
      <c r="L76" s="39"/>
      <c r="M76" s="39"/>
      <c r="N76" s="39"/>
      <c r="O76" s="39"/>
      <c r="P76" s="39"/>
      <c r="Q76" s="39"/>
      <c r="R76" s="39"/>
      <c r="S76" s="39"/>
      <c r="T76" s="39">
        <f t="shared" si="35"/>
        <v>0.83250000000000002</v>
      </c>
      <c r="U76" s="39"/>
      <c r="V76" s="39">
        <v>0.2</v>
      </c>
      <c r="W76" s="39"/>
      <c r="X76" s="39">
        <f t="shared" si="36"/>
        <v>0.74924999999999997</v>
      </c>
      <c r="Y76" s="32">
        <f t="shared" si="37"/>
        <v>511175</v>
      </c>
      <c r="Z76" s="32">
        <f t="shared" si="8"/>
        <v>3067050</v>
      </c>
    </row>
    <row r="77" spans="1:26" s="10" customFormat="1" ht="27.75" customHeight="1">
      <c r="A77" s="3" t="s">
        <v>592</v>
      </c>
      <c r="B77" s="18" t="s">
        <v>593</v>
      </c>
      <c r="C77" s="53"/>
      <c r="D77" s="53"/>
      <c r="E77" s="54">
        <f>E78+E84</f>
        <v>22.740000000000002</v>
      </c>
      <c r="F77" s="54">
        <f t="shared" ref="F77:Z77" si="38">F78+F84</f>
        <v>0</v>
      </c>
      <c r="G77" s="54">
        <f t="shared" si="38"/>
        <v>22.740000000000002</v>
      </c>
      <c r="H77" s="54">
        <f t="shared" si="38"/>
        <v>0</v>
      </c>
      <c r="I77" s="54">
        <f t="shared" si="38"/>
        <v>0</v>
      </c>
      <c r="J77" s="54">
        <f t="shared" si="38"/>
        <v>0</v>
      </c>
      <c r="K77" s="54">
        <f t="shared" si="38"/>
        <v>0</v>
      </c>
      <c r="L77" s="54">
        <f t="shared" si="38"/>
        <v>0</v>
      </c>
      <c r="M77" s="54">
        <f t="shared" si="38"/>
        <v>0</v>
      </c>
      <c r="N77" s="54">
        <f t="shared" si="38"/>
        <v>0</v>
      </c>
      <c r="O77" s="54">
        <f t="shared" si="38"/>
        <v>0</v>
      </c>
      <c r="P77" s="54">
        <f t="shared" si="38"/>
        <v>0</v>
      </c>
      <c r="Q77" s="54">
        <f t="shared" si="38"/>
        <v>0</v>
      </c>
      <c r="R77" s="54">
        <f t="shared" si="38"/>
        <v>0</v>
      </c>
      <c r="S77" s="54">
        <f t="shared" si="38"/>
        <v>0</v>
      </c>
      <c r="T77" s="54">
        <f t="shared" si="38"/>
        <v>0</v>
      </c>
      <c r="U77" s="54">
        <f t="shared" si="38"/>
        <v>0</v>
      </c>
      <c r="V77" s="54">
        <f t="shared" si="38"/>
        <v>22.740000000000002</v>
      </c>
      <c r="W77" s="54">
        <f t="shared" si="38"/>
        <v>0</v>
      </c>
      <c r="X77" s="54">
        <f t="shared" si="38"/>
        <v>0</v>
      </c>
      <c r="Y77" s="53">
        <f t="shared" si="38"/>
        <v>2274000</v>
      </c>
      <c r="Z77" s="53">
        <f t="shared" si="38"/>
        <v>13644000</v>
      </c>
    </row>
    <row r="78" spans="1:26" s="10" customFormat="1" ht="24.75" customHeight="1">
      <c r="A78" s="27">
        <v>1</v>
      </c>
      <c r="B78" s="55" t="s">
        <v>594</v>
      </c>
      <c r="C78" s="187">
        <f t="shared" ref="C78:Z78" si="39">SUM(C79:C83)</f>
        <v>136</v>
      </c>
      <c r="D78" s="187">
        <f t="shared" si="39"/>
        <v>133</v>
      </c>
      <c r="E78" s="40">
        <f>SUM(E79:E83)</f>
        <v>19.200000000000003</v>
      </c>
      <c r="F78" s="63">
        <f t="shared" si="39"/>
        <v>0</v>
      </c>
      <c r="G78" s="63">
        <f t="shared" si="39"/>
        <v>19.200000000000003</v>
      </c>
      <c r="H78" s="63">
        <f t="shared" si="39"/>
        <v>0</v>
      </c>
      <c r="I78" s="63">
        <f t="shared" si="39"/>
        <v>0</v>
      </c>
      <c r="J78" s="63">
        <f t="shared" si="39"/>
        <v>0</v>
      </c>
      <c r="K78" s="63">
        <f t="shared" si="39"/>
        <v>0</v>
      </c>
      <c r="L78" s="63">
        <f t="shared" si="39"/>
        <v>0</v>
      </c>
      <c r="M78" s="63">
        <f t="shared" si="39"/>
        <v>0</v>
      </c>
      <c r="N78" s="63">
        <f t="shared" si="39"/>
        <v>0</v>
      </c>
      <c r="O78" s="63">
        <f t="shared" si="39"/>
        <v>0</v>
      </c>
      <c r="P78" s="63">
        <f t="shared" si="39"/>
        <v>0</v>
      </c>
      <c r="Q78" s="63">
        <f t="shared" si="39"/>
        <v>0</v>
      </c>
      <c r="R78" s="63">
        <f t="shared" si="39"/>
        <v>0</v>
      </c>
      <c r="S78" s="63">
        <f t="shared" si="39"/>
        <v>0</v>
      </c>
      <c r="T78" s="63">
        <f t="shared" si="39"/>
        <v>0</v>
      </c>
      <c r="U78" s="63">
        <f t="shared" si="39"/>
        <v>0</v>
      </c>
      <c r="V78" s="63">
        <f t="shared" si="39"/>
        <v>19.200000000000003</v>
      </c>
      <c r="W78" s="63">
        <f t="shared" si="39"/>
        <v>0</v>
      </c>
      <c r="X78" s="63">
        <f t="shared" si="39"/>
        <v>0</v>
      </c>
      <c r="Y78" s="33">
        <f t="shared" si="39"/>
        <v>1920000</v>
      </c>
      <c r="Z78" s="33">
        <f t="shared" si="39"/>
        <v>11520000</v>
      </c>
    </row>
    <row r="79" spans="1:26" s="10" customFormat="1" ht="27.75" customHeight="1">
      <c r="A79" s="13" t="s">
        <v>601</v>
      </c>
      <c r="B79" s="56" t="s">
        <v>595</v>
      </c>
      <c r="C79" s="52">
        <v>15</v>
      </c>
      <c r="D79" s="52">
        <v>15</v>
      </c>
      <c r="E79" s="37">
        <f>+F79+G79+X79</f>
        <v>3.5999999999999996</v>
      </c>
      <c r="F79" s="43"/>
      <c r="G79" s="353">
        <f>+SUM(H79:W79)</f>
        <v>3.5999999999999996</v>
      </c>
      <c r="H79" s="39"/>
      <c r="I79" s="39"/>
      <c r="J79" s="39"/>
      <c r="K79" s="39"/>
      <c r="L79" s="39"/>
      <c r="M79" s="39"/>
      <c r="N79" s="39"/>
      <c r="O79" s="39"/>
      <c r="P79" s="39"/>
      <c r="Q79" s="39"/>
      <c r="R79" s="39"/>
      <c r="S79" s="39"/>
      <c r="T79" s="39">
        <f t="shared" ref="T79:T88" si="40">(F79+I79+J79)*25/100</f>
        <v>0</v>
      </c>
      <c r="U79" s="39"/>
      <c r="V79" s="357">
        <f>D79*0.24</f>
        <v>3.5999999999999996</v>
      </c>
      <c r="W79" s="39"/>
      <c r="X79" s="39">
        <f>(F79+I79+J79+K79)*22.5/100</f>
        <v>0</v>
      </c>
      <c r="Y79" s="32">
        <f>E79*100000</f>
        <v>359999.99999999994</v>
      </c>
      <c r="Z79" s="32">
        <f>Y79*6</f>
        <v>2159999.9999999995</v>
      </c>
    </row>
    <row r="80" spans="1:26" s="10" customFormat="1" ht="27.75" customHeight="1">
      <c r="A80" s="13" t="s">
        <v>602</v>
      </c>
      <c r="B80" s="56" t="s">
        <v>596</v>
      </c>
      <c r="C80" s="52">
        <v>18</v>
      </c>
      <c r="D80" s="52">
        <v>17</v>
      </c>
      <c r="E80" s="37">
        <f>+F80+G80+X80</f>
        <v>3.74</v>
      </c>
      <c r="F80" s="43"/>
      <c r="G80" s="353">
        <f t="shared" ref="G80:G88" si="41">+SUM(H80:W80)</f>
        <v>3.74</v>
      </c>
      <c r="H80" s="39"/>
      <c r="I80" s="39"/>
      <c r="J80" s="39"/>
      <c r="K80" s="39"/>
      <c r="L80" s="39"/>
      <c r="M80" s="39"/>
      <c r="N80" s="39"/>
      <c r="O80" s="39"/>
      <c r="P80" s="39"/>
      <c r="Q80" s="39"/>
      <c r="R80" s="39"/>
      <c r="S80" s="39"/>
      <c r="T80" s="39">
        <f t="shared" si="40"/>
        <v>0</v>
      </c>
      <c r="U80" s="39"/>
      <c r="V80" s="357">
        <f>D80*0.22</f>
        <v>3.74</v>
      </c>
      <c r="W80" s="39"/>
      <c r="X80" s="39">
        <f>(F80+I80+J80+K80)*22.5/100</f>
        <v>0</v>
      </c>
      <c r="Y80" s="32">
        <f>E80*100000</f>
        <v>374000</v>
      </c>
      <c r="Z80" s="32">
        <f>Y80*6</f>
        <v>2244000</v>
      </c>
    </row>
    <row r="81" spans="1:26" s="10" customFormat="1" ht="27.75" customHeight="1">
      <c r="A81" s="13" t="s">
        <v>603</v>
      </c>
      <c r="B81" s="56" t="s">
        <v>597</v>
      </c>
      <c r="C81" s="52">
        <v>11</v>
      </c>
      <c r="D81" s="52">
        <v>9</v>
      </c>
      <c r="E81" s="37">
        <f>+F81+G81+X81</f>
        <v>1.8</v>
      </c>
      <c r="F81" s="43"/>
      <c r="G81" s="353">
        <f t="shared" si="41"/>
        <v>1.8</v>
      </c>
      <c r="H81" s="39"/>
      <c r="I81" s="39"/>
      <c r="J81" s="39"/>
      <c r="K81" s="39"/>
      <c r="L81" s="39"/>
      <c r="M81" s="39"/>
      <c r="N81" s="39"/>
      <c r="O81" s="39"/>
      <c r="P81" s="39"/>
      <c r="Q81" s="39"/>
      <c r="R81" s="39"/>
      <c r="S81" s="39"/>
      <c r="T81" s="39">
        <f t="shared" si="40"/>
        <v>0</v>
      </c>
      <c r="U81" s="39"/>
      <c r="V81" s="357">
        <f>D81*0.2</f>
        <v>1.8</v>
      </c>
      <c r="W81" s="39"/>
      <c r="X81" s="39">
        <f>(F81+I81+J81+K81)*22.5/100</f>
        <v>0</v>
      </c>
      <c r="Y81" s="32">
        <f>E81*100000</f>
        <v>180000</v>
      </c>
      <c r="Z81" s="32">
        <f>Y81*6</f>
        <v>1080000</v>
      </c>
    </row>
    <row r="82" spans="1:26" s="10" customFormat="1" ht="27.75" customHeight="1">
      <c r="A82" s="13" t="s">
        <v>604</v>
      </c>
      <c r="B82" s="56" t="s">
        <v>598</v>
      </c>
      <c r="C82" s="52">
        <v>43</v>
      </c>
      <c r="D82" s="52">
        <v>43</v>
      </c>
      <c r="E82" s="37">
        <f>+F82+G82+X82</f>
        <v>5.16</v>
      </c>
      <c r="F82" s="43"/>
      <c r="G82" s="353">
        <f t="shared" si="41"/>
        <v>5.16</v>
      </c>
      <c r="H82" s="39"/>
      <c r="I82" s="39"/>
      <c r="J82" s="39"/>
      <c r="K82" s="39"/>
      <c r="L82" s="39"/>
      <c r="M82" s="39"/>
      <c r="N82" s="39"/>
      <c r="O82" s="39"/>
      <c r="P82" s="39"/>
      <c r="Q82" s="39"/>
      <c r="R82" s="39"/>
      <c r="S82" s="39"/>
      <c r="T82" s="39">
        <f t="shared" si="40"/>
        <v>0</v>
      </c>
      <c r="U82" s="39"/>
      <c r="V82" s="357">
        <f>D82*0.12</f>
        <v>5.16</v>
      </c>
      <c r="W82" s="39"/>
      <c r="X82" s="39">
        <f>(F82+I82+J82+K82)*22.5/100</f>
        <v>0</v>
      </c>
      <c r="Y82" s="32">
        <f>E82*100000</f>
        <v>516000</v>
      </c>
      <c r="Z82" s="32">
        <f>Y82*6</f>
        <v>3096000</v>
      </c>
    </row>
    <row r="83" spans="1:26" s="10" customFormat="1" ht="27.75" customHeight="1">
      <c r="A83" s="13" t="s">
        <v>605</v>
      </c>
      <c r="B83" s="56" t="s">
        <v>599</v>
      </c>
      <c r="C83" s="52">
        <v>49</v>
      </c>
      <c r="D83" s="52">
        <v>49</v>
      </c>
      <c r="E83" s="37">
        <f>+F83+G83+X83</f>
        <v>4.9000000000000004</v>
      </c>
      <c r="F83" s="43"/>
      <c r="G83" s="353">
        <f t="shared" si="41"/>
        <v>4.9000000000000004</v>
      </c>
      <c r="H83" s="39"/>
      <c r="I83" s="39"/>
      <c r="J83" s="39"/>
      <c r="K83" s="39"/>
      <c r="L83" s="39"/>
      <c r="M83" s="39"/>
      <c r="N83" s="39"/>
      <c r="O83" s="39"/>
      <c r="P83" s="39"/>
      <c r="Q83" s="39"/>
      <c r="R83" s="39"/>
      <c r="S83" s="39"/>
      <c r="T83" s="39">
        <f t="shared" si="40"/>
        <v>0</v>
      </c>
      <c r="U83" s="39"/>
      <c r="V83" s="357">
        <f>D83*0.1</f>
        <v>4.9000000000000004</v>
      </c>
      <c r="W83" s="39"/>
      <c r="X83" s="39">
        <f>(F83+I83+J83+K83)*22.5/100</f>
        <v>0</v>
      </c>
      <c r="Y83" s="32">
        <f>E83*100000</f>
        <v>490000.00000000006</v>
      </c>
      <c r="Z83" s="32">
        <f>Y83*6</f>
        <v>2940000.0000000005</v>
      </c>
    </row>
    <row r="84" spans="1:26" s="10" customFormat="1" ht="27.75" customHeight="1">
      <c r="A84" s="27">
        <v>2</v>
      </c>
      <c r="B84" s="55" t="s">
        <v>600</v>
      </c>
      <c r="C84" s="57">
        <f t="shared" ref="C84:Z84" si="42">SUM(C85:C88)</f>
        <v>23</v>
      </c>
      <c r="D84" s="57">
        <f t="shared" si="42"/>
        <v>23</v>
      </c>
      <c r="E84" s="188">
        <f>SUM(E85:E88)</f>
        <v>3.54</v>
      </c>
      <c r="F84" s="188">
        <f t="shared" si="42"/>
        <v>0</v>
      </c>
      <c r="G84" s="188">
        <f t="shared" si="42"/>
        <v>3.54</v>
      </c>
      <c r="H84" s="188">
        <f t="shared" si="42"/>
        <v>0</v>
      </c>
      <c r="I84" s="188">
        <f t="shared" si="42"/>
        <v>0</v>
      </c>
      <c r="J84" s="188">
        <f t="shared" si="42"/>
        <v>0</v>
      </c>
      <c r="K84" s="188">
        <f t="shared" si="42"/>
        <v>0</v>
      </c>
      <c r="L84" s="188">
        <f t="shared" si="42"/>
        <v>0</v>
      </c>
      <c r="M84" s="188">
        <f t="shared" si="42"/>
        <v>0</v>
      </c>
      <c r="N84" s="188">
        <f t="shared" si="42"/>
        <v>0</v>
      </c>
      <c r="O84" s="188">
        <f t="shared" si="42"/>
        <v>0</v>
      </c>
      <c r="P84" s="188">
        <f t="shared" si="42"/>
        <v>0</v>
      </c>
      <c r="Q84" s="188">
        <f t="shared" si="42"/>
        <v>0</v>
      </c>
      <c r="R84" s="188">
        <f t="shared" si="42"/>
        <v>0</v>
      </c>
      <c r="S84" s="188">
        <f t="shared" si="42"/>
        <v>0</v>
      </c>
      <c r="T84" s="188">
        <f t="shared" si="42"/>
        <v>0</v>
      </c>
      <c r="U84" s="188">
        <f t="shared" si="42"/>
        <v>0</v>
      </c>
      <c r="V84" s="188">
        <f t="shared" si="42"/>
        <v>3.54</v>
      </c>
      <c r="W84" s="188">
        <f t="shared" si="42"/>
        <v>0</v>
      </c>
      <c r="X84" s="188">
        <f t="shared" si="42"/>
        <v>0</v>
      </c>
      <c r="Y84" s="58">
        <f t="shared" si="42"/>
        <v>354000</v>
      </c>
      <c r="Z84" s="58">
        <f t="shared" si="42"/>
        <v>2124000</v>
      </c>
    </row>
    <row r="85" spans="1:26" s="10" customFormat="1" ht="27.75" customHeight="1">
      <c r="A85" s="13" t="s">
        <v>601</v>
      </c>
      <c r="B85" s="56" t="s">
        <v>595</v>
      </c>
      <c r="C85" s="52">
        <v>4</v>
      </c>
      <c r="D85" s="52">
        <v>4</v>
      </c>
      <c r="E85" s="37">
        <f>+F85+G85+X85</f>
        <v>0.96</v>
      </c>
      <c r="F85" s="43"/>
      <c r="G85" s="353">
        <f t="shared" si="41"/>
        <v>0.96</v>
      </c>
      <c r="H85" s="39"/>
      <c r="I85" s="39"/>
      <c r="J85" s="39"/>
      <c r="K85" s="39"/>
      <c r="L85" s="39"/>
      <c r="M85" s="39"/>
      <c r="N85" s="39"/>
      <c r="O85" s="39"/>
      <c r="P85" s="39"/>
      <c r="Q85" s="39"/>
      <c r="R85" s="39"/>
      <c r="S85" s="39"/>
      <c r="T85" s="39">
        <f t="shared" si="40"/>
        <v>0</v>
      </c>
      <c r="U85" s="39"/>
      <c r="V85" s="357">
        <f>D85*0.24</f>
        <v>0.96</v>
      </c>
      <c r="W85" s="39"/>
      <c r="X85" s="39">
        <f>(F85+I85+J85+K85)*22.5/100</f>
        <v>0</v>
      </c>
      <c r="Y85" s="32">
        <f>E85*100000</f>
        <v>96000</v>
      </c>
      <c r="Z85" s="32">
        <f>Y85*6</f>
        <v>576000</v>
      </c>
    </row>
    <row r="86" spans="1:26" s="10" customFormat="1" ht="27.75" customHeight="1">
      <c r="A86" s="13" t="s">
        <v>602</v>
      </c>
      <c r="B86" s="56" t="s">
        <v>596</v>
      </c>
      <c r="C86" s="52">
        <v>4</v>
      </c>
      <c r="D86" s="52">
        <v>4</v>
      </c>
      <c r="E86" s="37">
        <f>+F86+G86+X86</f>
        <v>0.88</v>
      </c>
      <c r="F86" s="43"/>
      <c r="G86" s="353">
        <f t="shared" si="41"/>
        <v>0.88</v>
      </c>
      <c r="H86" s="39"/>
      <c r="I86" s="39"/>
      <c r="J86" s="39"/>
      <c r="K86" s="39"/>
      <c r="L86" s="39"/>
      <c r="M86" s="39"/>
      <c r="N86" s="39"/>
      <c r="O86" s="39"/>
      <c r="P86" s="39"/>
      <c r="Q86" s="39"/>
      <c r="R86" s="39"/>
      <c r="S86" s="39"/>
      <c r="T86" s="39">
        <f t="shared" si="40"/>
        <v>0</v>
      </c>
      <c r="U86" s="39"/>
      <c r="V86" s="357">
        <f>D86*0.22</f>
        <v>0.88</v>
      </c>
      <c r="W86" s="39"/>
      <c r="X86" s="39">
        <f>(F86+I86+J86+K86)*22.5/100</f>
        <v>0</v>
      </c>
      <c r="Y86" s="32">
        <f>E86*100000</f>
        <v>88000</v>
      </c>
      <c r="Z86" s="32">
        <f>Y86*6</f>
        <v>528000</v>
      </c>
    </row>
    <row r="87" spans="1:26" s="10" customFormat="1" ht="27.75" customHeight="1">
      <c r="A87" s="13" t="s">
        <v>603</v>
      </c>
      <c r="B87" s="56" t="s">
        <v>597</v>
      </c>
      <c r="C87" s="52">
        <v>2</v>
      </c>
      <c r="D87" s="52">
        <v>2</v>
      </c>
      <c r="E87" s="37">
        <f>+F87+G87+X87</f>
        <v>0.4</v>
      </c>
      <c r="F87" s="43"/>
      <c r="G87" s="353">
        <f t="shared" si="41"/>
        <v>0.4</v>
      </c>
      <c r="H87" s="39"/>
      <c r="I87" s="39"/>
      <c r="J87" s="39"/>
      <c r="K87" s="39"/>
      <c r="L87" s="39"/>
      <c r="M87" s="39"/>
      <c r="N87" s="39"/>
      <c r="O87" s="39"/>
      <c r="P87" s="39"/>
      <c r="Q87" s="39"/>
      <c r="R87" s="39"/>
      <c r="S87" s="39"/>
      <c r="T87" s="39">
        <f t="shared" si="40"/>
        <v>0</v>
      </c>
      <c r="U87" s="39"/>
      <c r="V87" s="357">
        <f>D87*0.2</f>
        <v>0.4</v>
      </c>
      <c r="W87" s="39"/>
      <c r="X87" s="39">
        <f>(F87+I87+J87+K87)*22.5/100</f>
        <v>0</v>
      </c>
      <c r="Y87" s="32">
        <f>E87*100000</f>
        <v>40000</v>
      </c>
      <c r="Z87" s="32">
        <f>Y87*6</f>
        <v>240000</v>
      </c>
    </row>
    <row r="88" spans="1:26" s="10" customFormat="1" ht="27.75" customHeight="1">
      <c r="A88" s="13" t="s">
        <v>604</v>
      </c>
      <c r="B88" s="56" t="s">
        <v>599</v>
      </c>
      <c r="C88" s="52">
        <v>13</v>
      </c>
      <c r="D88" s="52">
        <v>13</v>
      </c>
      <c r="E88" s="37">
        <f>+F88+G88+X88</f>
        <v>1.3</v>
      </c>
      <c r="F88" s="43"/>
      <c r="G88" s="353">
        <f t="shared" si="41"/>
        <v>1.3</v>
      </c>
      <c r="H88" s="39"/>
      <c r="I88" s="39"/>
      <c r="J88" s="39"/>
      <c r="K88" s="39"/>
      <c r="L88" s="39"/>
      <c r="M88" s="39"/>
      <c r="N88" s="39"/>
      <c r="O88" s="39"/>
      <c r="P88" s="39"/>
      <c r="Q88" s="39"/>
      <c r="R88" s="39"/>
      <c r="S88" s="39"/>
      <c r="T88" s="39">
        <f t="shared" si="40"/>
        <v>0</v>
      </c>
      <c r="U88" s="39"/>
      <c r="V88" s="357">
        <f>D88*0.1</f>
        <v>1.3</v>
      </c>
      <c r="W88" s="39"/>
      <c r="X88" s="39">
        <f>(F88+I88+J88+K88)*22.5/100</f>
        <v>0</v>
      </c>
      <c r="Y88" s="32">
        <f>E88*100000</f>
        <v>130000</v>
      </c>
      <c r="Z88" s="32">
        <f>Y88*6</f>
        <v>780000</v>
      </c>
    </row>
    <row r="89" spans="1:26" s="10" customFormat="1" ht="33" customHeight="1">
      <c r="A89" s="186" t="s">
        <v>7</v>
      </c>
      <c r="B89" s="59" t="s">
        <v>246</v>
      </c>
      <c r="C89" s="33">
        <f>C90+C122+C129+C134+C138</f>
        <v>50</v>
      </c>
      <c r="D89" s="33">
        <f>D90+D122+D129+D134+D138</f>
        <v>46</v>
      </c>
      <c r="E89" s="40">
        <f t="shared" ref="E89:Z89" si="43">E90+E122+E129+E134+E138+E143+E179+E207+E234</f>
        <v>349.14737549999995</v>
      </c>
      <c r="F89" s="63">
        <f>F90+F122+F129+F134+F138+F143+F179+F207+F234</f>
        <v>171.51000000000002</v>
      </c>
      <c r="G89" s="63">
        <f t="shared" si="43"/>
        <v>136.23513000000003</v>
      </c>
      <c r="H89" s="63">
        <f t="shared" si="43"/>
        <v>0</v>
      </c>
      <c r="I89" s="63">
        <f t="shared" si="43"/>
        <v>10.150000000000002</v>
      </c>
      <c r="J89" s="63">
        <f t="shared" si="43"/>
        <v>0.64740000000000009</v>
      </c>
      <c r="K89" s="63">
        <f t="shared" si="43"/>
        <v>1.4412999999999998</v>
      </c>
      <c r="L89" s="63">
        <f t="shared" si="43"/>
        <v>0.56799999999999995</v>
      </c>
      <c r="M89" s="63">
        <f t="shared" si="43"/>
        <v>0</v>
      </c>
      <c r="N89" s="63">
        <f>N90+N122+N129+N134+N138+N143+N179+N207+N234</f>
        <v>20.600000000000005</v>
      </c>
      <c r="O89" s="63">
        <f t="shared" si="43"/>
        <v>10.800000000000004</v>
      </c>
      <c r="P89" s="63">
        <f t="shared" si="43"/>
        <v>0</v>
      </c>
      <c r="Q89" s="63">
        <f t="shared" si="43"/>
        <v>4.7880000000000003</v>
      </c>
      <c r="R89" s="63">
        <f t="shared" si="43"/>
        <v>0</v>
      </c>
      <c r="S89" s="63">
        <f t="shared" si="43"/>
        <v>0</v>
      </c>
      <c r="T89" s="63">
        <f t="shared" si="43"/>
        <v>45.57685</v>
      </c>
      <c r="U89" s="63">
        <f t="shared" si="43"/>
        <v>35.813580000000002</v>
      </c>
      <c r="V89" s="63">
        <f t="shared" si="43"/>
        <v>0.45</v>
      </c>
      <c r="W89" s="63">
        <f t="shared" si="43"/>
        <v>5.4000000000000021</v>
      </c>
      <c r="X89" s="63">
        <f t="shared" si="43"/>
        <v>41.402245499999999</v>
      </c>
      <c r="Y89" s="189">
        <f t="shared" si="43"/>
        <v>34914737.549999997</v>
      </c>
      <c r="Z89" s="189">
        <f t="shared" si="43"/>
        <v>209488425.30000001</v>
      </c>
    </row>
    <row r="90" spans="1:26" s="10" customFormat="1" ht="39.75" customHeight="1">
      <c r="A90" s="186" t="s">
        <v>2</v>
      </c>
      <c r="B90" s="59" t="s">
        <v>203</v>
      </c>
      <c r="C90" s="33">
        <v>31</v>
      </c>
      <c r="D90" s="33">
        <v>29</v>
      </c>
      <c r="E90" s="40">
        <f>E91+E113</f>
        <v>187.74476799999997</v>
      </c>
      <c r="F90" s="63">
        <f>F91+F113</f>
        <v>105.05000000000001</v>
      </c>
      <c r="G90" s="63">
        <f t="shared" ref="G90:Z90" si="44">G91+G113</f>
        <v>57.515000000000001</v>
      </c>
      <c r="H90" s="63">
        <f t="shared" si="44"/>
        <v>0</v>
      </c>
      <c r="I90" s="63">
        <f t="shared" si="44"/>
        <v>6.3000000000000007</v>
      </c>
      <c r="J90" s="63">
        <f t="shared" si="44"/>
        <v>0.29880000000000001</v>
      </c>
      <c r="K90" s="63">
        <f t="shared" si="44"/>
        <v>0</v>
      </c>
      <c r="L90" s="63">
        <f t="shared" si="44"/>
        <v>0</v>
      </c>
      <c r="M90" s="63">
        <f t="shared" si="44"/>
        <v>0</v>
      </c>
      <c r="N90" s="63">
        <f t="shared" si="44"/>
        <v>3.149999999999999</v>
      </c>
      <c r="O90" s="63">
        <f t="shared" si="44"/>
        <v>0</v>
      </c>
      <c r="P90" s="63">
        <f t="shared" si="44"/>
        <v>0</v>
      </c>
      <c r="Q90" s="63">
        <f t="shared" si="44"/>
        <v>0</v>
      </c>
      <c r="R90" s="63">
        <f t="shared" si="44"/>
        <v>0</v>
      </c>
      <c r="S90" s="63">
        <f t="shared" si="44"/>
        <v>0</v>
      </c>
      <c r="T90" s="63">
        <f t="shared" si="44"/>
        <v>27.912200000000002</v>
      </c>
      <c r="U90" s="63">
        <f t="shared" si="44"/>
        <v>19.404</v>
      </c>
      <c r="V90" s="63">
        <f t="shared" si="44"/>
        <v>0.45</v>
      </c>
      <c r="W90" s="63">
        <f t="shared" si="44"/>
        <v>0</v>
      </c>
      <c r="X90" s="63">
        <f t="shared" si="44"/>
        <v>25.179767999999996</v>
      </c>
      <c r="Y90" s="189">
        <f t="shared" si="44"/>
        <v>18774476.800000001</v>
      </c>
      <c r="Z90" s="189">
        <f t="shared" si="44"/>
        <v>112646860.80000001</v>
      </c>
    </row>
    <row r="91" spans="1:26" s="10" customFormat="1" ht="27" customHeight="1">
      <c r="A91" s="4"/>
      <c r="B91" s="18" t="s">
        <v>671</v>
      </c>
      <c r="C91" s="30">
        <v>23</v>
      </c>
      <c r="D91" s="30">
        <v>21</v>
      </c>
      <c r="E91" s="190">
        <f>SUM(E92:E112)</f>
        <v>125.82624999999997</v>
      </c>
      <c r="F91" s="63">
        <f>SUM(F92:F112)</f>
        <v>67.11</v>
      </c>
      <c r="G91" s="63">
        <f t="shared" ref="G91:Z91" si="45">SUM(G92:G112)</f>
        <v>43.031500000000001</v>
      </c>
      <c r="H91" s="63">
        <f t="shared" si="45"/>
        <v>0</v>
      </c>
      <c r="I91" s="63">
        <f>SUM(I92:I112)</f>
        <v>2.6</v>
      </c>
      <c r="J91" s="63">
        <f t="shared" si="45"/>
        <v>0</v>
      </c>
      <c r="K91" s="63">
        <f t="shared" si="45"/>
        <v>0</v>
      </c>
      <c r="L91" s="63">
        <f t="shared" si="45"/>
        <v>0</v>
      </c>
      <c r="M91" s="63">
        <f t="shared" si="45"/>
        <v>0</v>
      </c>
      <c r="N91" s="63">
        <f t="shared" si="45"/>
        <v>3.149999999999999</v>
      </c>
      <c r="O91" s="63">
        <f t="shared" si="45"/>
        <v>0</v>
      </c>
      <c r="P91" s="63">
        <f t="shared" si="45"/>
        <v>0</v>
      </c>
      <c r="Q91" s="63">
        <f t="shared" si="45"/>
        <v>0</v>
      </c>
      <c r="R91" s="63">
        <f t="shared" si="45"/>
        <v>0</v>
      </c>
      <c r="S91" s="63">
        <f t="shared" si="45"/>
        <v>0</v>
      </c>
      <c r="T91" s="63">
        <f t="shared" si="45"/>
        <v>17.427500000000002</v>
      </c>
      <c r="U91" s="63">
        <f t="shared" si="45"/>
        <v>19.404</v>
      </c>
      <c r="V91" s="63">
        <f t="shared" si="45"/>
        <v>0.45</v>
      </c>
      <c r="W91" s="63">
        <f t="shared" si="45"/>
        <v>0</v>
      </c>
      <c r="X91" s="63">
        <f t="shared" si="45"/>
        <v>15.684749999999998</v>
      </c>
      <c r="Y91" s="191">
        <f t="shared" si="45"/>
        <v>12582625</v>
      </c>
      <c r="Z91" s="191">
        <f t="shared" si="45"/>
        <v>75495750</v>
      </c>
    </row>
    <row r="92" spans="1:26" s="10" customFormat="1" ht="27.75" customHeight="1">
      <c r="A92" s="60">
        <v>1</v>
      </c>
      <c r="B92" s="49" t="s">
        <v>672</v>
      </c>
      <c r="C92" s="30"/>
      <c r="D92" s="30"/>
      <c r="E92" s="192">
        <f>+F92+G92+X92</f>
        <v>10.7645</v>
      </c>
      <c r="F92" s="43">
        <v>5.08</v>
      </c>
      <c r="G92" s="353">
        <f>+SUM(H92:W92)</f>
        <v>4.3390000000000004</v>
      </c>
      <c r="H92" s="39"/>
      <c r="I92" s="358">
        <v>0.9</v>
      </c>
      <c r="J92" s="358"/>
      <c r="K92" s="39"/>
      <c r="L92" s="39"/>
      <c r="M92" s="39"/>
      <c r="N92" s="43">
        <f>0.15</f>
        <v>0.15</v>
      </c>
      <c r="O92" s="39"/>
      <c r="P92" s="39"/>
      <c r="Q92" s="39"/>
      <c r="R92" s="39"/>
      <c r="S92" s="39"/>
      <c r="T92" s="39">
        <f>(F92+I92+J92)*25/100</f>
        <v>1.4950000000000001</v>
      </c>
      <c r="U92" s="39">
        <f>(F92+I92+J92)*30/100</f>
        <v>1.794</v>
      </c>
      <c r="V92" s="359"/>
      <c r="W92" s="39"/>
      <c r="X92" s="39">
        <f t="shared" ref="X92:X112" si="46">(F92+I92+J92+K92)*22.5/100</f>
        <v>1.3455000000000001</v>
      </c>
      <c r="Y92" s="32">
        <f>E92*100000</f>
        <v>1076450</v>
      </c>
      <c r="Z92" s="32">
        <f>Y92*6</f>
        <v>6458700</v>
      </c>
    </row>
    <row r="93" spans="1:26" s="10" customFormat="1" ht="27" customHeight="1">
      <c r="A93" s="60">
        <v>2</v>
      </c>
      <c r="B93" s="49" t="s">
        <v>176</v>
      </c>
      <c r="C93" s="30"/>
      <c r="D93" s="30"/>
      <c r="E93" s="192">
        <f t="shared" ref="E93:E112" si="47">+F93+G93+X93</f>
        <v>11.012999999999998</v>
      </c>
      <c r="F93" s="358">
        <v>5.42</v>
      </c>
      <c r="G93" s="353">
        <f>+SUM(H93:W93)</f>
        <v>4.2159999999999993</v>
      </c>
      <c r="H93" s="39"/>
      <c r="I93" s="358">
        <v>0.7</v>
      </c>
      <c r="J93" s="358"/>
      <c r="K93" s="39"/>
      <c r="L93" s="39"/>
      <c r="M93" s="39"/>
      <c r="N93" s="43">
        <f>0.15</f>
        <v>0.15</v>
      </c>
      <c r="O93" s="39"/>
      <c r="P93" s="39"/>
      <c r="Q93" s="39"/>
      <c r="R93" s="39"/>
      <c r="S93" s="39"/>
      <c r="T93" s="39">
        <f>(F93+I93+J93)*25/100</f>
        <v>1.53</v>
      </c>
      <c r="U93" s="39">
        <f>(F93+I93+J93)*30/100</f>
        <v>1.8359999999999999</v>
      </c>
      <c r="V93" s="359"/>
      <c r="W93" s="39"/>
      <c r="X93" s="39">
        <f t="shared" si="46"/>
        <v>1.3769999999999998</v>
      </c>
      <c r="Y93" s="32">
        <f>E93*100000</f>
        <v>1101299.9999999998</v>
      </c>
      <c r="Z93" s="32">
        <f>Y93*6</f>
        <v>6607799.9999999981</v>
      </c>
    </row>
    <row r="94" spans="1:26" s="10" customFormat="1" ht="24.75" customHeight="1">
      <c r="A94" s="60">
        <v>3</v>
      </c>
      <c r="B94" s="49" t="s">
        <v>182</v>
      </c>
      <c r="C94" s="30"/>
      <c r="D94" s="30"/>
      <c r="E94" s="192">
        <f t="shared" si="47"/>
        <v>7.7115</v>
      </c>
      <c r="F94" s="360">
        <v>3.96</v>
      </c>
      <c r="G94" s="353">
        <f t="shared" ref="G94:G112" si="48">+SUM(H94:W94)</f>
        <v>2.7930000000000001</v>
      </c>
      <c r="H94" s="39"/>
      <c r="I94" s="358">
        <v>0.3</v>
      </c>
      <c r="J94" s="39"/>
      <c r="K94" s="39"/>
      <c r="L94" s="39"/>
      <c r="M94" s="39"/>
      <c r="N94" s="355">
        <f>0.15</f>
        <v>0.15</v>
      </c>
      <c r="O94" s="39"/>
      <c r="P94" s="39"/>
      <c r="Q94" s="39"/>
      <c r="R94" s="39"/>
      <c r="S94" s="39"/>
      <c r="T94" s="39">
        <f t="shared" ref="T94:T111" si="49">(F94+I94+J94)*25/100</f>
        <v>1.0649999999999999</v>
      </c>
      <c r="U94" s="39">
        <f t="shared" ref="U94:U103" si="50">(F94+I94+J94)*30/100</f>
        <v>1.278</v>
      </c>
      <c r="V94" s="359"/>
      <c r="W94" s="39"/>
      <c r="X94" s="39">
        <f t="shared" si="46"/>
        <v>0.95849999999999991</v>
      </c>
      <c r="Y94" s="32">
        <f>E94*100000</f>
        <v>771150</v>
      </c>
      <c r="Z94" s="32">
        <f>Y94*6</f>
        <v>4626900</v>
      </c>
    </row>
    <row r="95" spans="1:26" s="10" customFormat="1" ht="24" customHeight="1">
      <c r="A95" s="60">
        <v>4</v>
      </c>
      <c r="B95" s="46" t="s">
        <v>186</v>
      </c>
      <c r="C95" s="30"/>
      <c r="D95" s="30"/>
      <c r="E95" s="192">
        <f t="shared" si="47"/>
        <v>5.8299999999999992</v>
      </c>
      <c r="F95" s="361">
        <v>3</v>
      </c>
      <c r="G95" s="353">
        <f t="shared" si="48"/>
        <v>2.11</v>
      </c>
      <c r="H95" s="39"/>
      <c r="I95" s="362">
        <v>0.2</v>
      </c>
      <c r="J95" s="39"/>
      <c r="K95" s="39"/>
      <c r="L95" s="39"/>
      <c r="M95" s="39"/>
      <c r="N95" s="43">
        <f t="shared" ref="N95:N112" si="51">0.15</f>
        <v>0.15</v>
      </c>
      <c r="O95" s="39"/>
      <c r="P95" s="39"/>
      <c r="Q95" s="39"/>
      <c r="R95" s="39"/>
      <c r="S95" s="39"/>
      <c r="T95" s="39">
        <f t="shared" si="49"/>
        <v>0.8</v>
      </c>
      <c r="U95" s="39">
        <f t="shared" si="50"/>
        <v>0.96</v>
      </c>
      <c r="V95" s="359"/>
      <c r="W95" s="39"/>
      <c r="X95" s="39">
        <f t="shared" si="46"/>
        <v>0.72</v>
      </c>
      <c r="Y95" s="32">
        <f>E95*100000</f>
        <v>582999.99999999988</v>
      </c>
      <c r="Z95" s="32">
        <f>Y95*6</f>
        <v>3497999.9999999991</v>
      </c>
    </row>
    <row r="96" spans="1:26" s="10" customFormat="1" ht="27" customHeight="1">
      <c r="A96" s="60">
        <v>5</v>
      </c>
      <c r="B96" s="49" t="s">
        <v>187</v>
      </c>
      <c r="C96" s="30"/>
      <c r="D96" s="30"/>
      <c r="E96" s="192">
        <f t="shared" si="47"/>
        <v>5.8299999999999992</v>
      </c>
      <c r="F96" s="360">
        <v>3</v>
      </c>
      <c r="G96" s="353">
        <f t="shared" si="48"/>
        <v>2.11</v>
      </c>
      <c r="H96" s="39"/>
      <c r="I96" s="358">
        <v>0.2</v>
      </c>
      <c r="J96" s="39"/>
      <c r="K96" s="39"/>
      <c r="L96" s="39"/>
      <c r="M96" s="39"/>
      <c r="N96" s="43">
        <f t="shared" si="51"/>
        <v>0.15</v>
      </c>
      <c r="O96" s="39"/>
      <c r="P96" s="39"/>
      <c r="Q96" s="39"/>
      <c r="R96" s="39"/>
      <c r="S96" s="39"/>
      <c r="T96" s="39">
        <f t="shared" si="49"/>
        <v>0.8</v>
      </c>
      <c r="U96" s="39">
        <f t="shared" si="50"/>
        <v>0.96</v>
      </c>
      <c r="V96" s="359"/>
      <c r="W96" s="39"/>
      <c r="X96" s="39">
        <f t="shared" si="46"/>
        <v>0.72</v>
      </c>
      <c r="Y96" s="32">
        <f t="shared" ref="Y96:Y121" si="52">E96*100000</f>
        <v>582999.99999999988</v>
      </c>
      <c r="Z96" s="32">
        <f t="shared" ref="Z96:Z121" si="53">Y96*6</f>
        <v>3497999.9999999991</v>
      </c>
    </row>
    <row r="97" spans="1:26" s="10" customFormat="1" ht="27.75" customHeight="1">
      <c r="A97" s="60">
        <v>6</v>
      </c>
      <c r="B97" s="46" t="s">
        <v>188</v>
      </c>
      <c r="C97" s="30"/>
      <c r="D97" s="30"/>
      <c r="E97" s="192">
        <f t="shared" si="47"/>
        <v>6.0607500000000005</v>
      </c>
      <c r="F97" s="361">
        <v>3.33</v>
      </c>
      <c r="G97" s="353">
        <f t="shared" si="48"/>
        <v>1.9815</v>
      </c>
      <c r="H97" s="39"/>
      <c r="I97" s="362"/>
      <c r="J97" s="39"/>
      <c r="K97" s="39"/>
      <c r="L97" s="39"/>
      <c r="M97" s="39"/>
      <c r="N97" s="43">
        <f t="shared" si="51"/>
        <v>0.15</v>
      </c>
      <c r="O97" s="39"/>
      <c r="P97" s="39"/>
      <c r="Q97" s="39"/>
      <c r="R97" s="39"/>
      <c r="S97" s="39"/>
      <c r="T97" s="39">
        <f t="shared" si="49"/>
        <v>0.83250000000000002</v>
      </c>
      <c r="U97" s="39">
        <f t="shared" si="50"/>
        <v>0.99900000000000011</v>
      </c>
      <c r="V97" s="359"/>
      <c r="W97" s="39"/>
      <c r="X97" s="39">
        <f t="shared" si="46"/>
        <v>0.74924999999999997</v>
      </c>
      <c r="Y97" s="32">
        <f t="shared" si="52"/>
        <v>606075</v>
      </c>
      <c r="Z97" s="32">
        <f t="shared" si="53"/>
        <v>3636450</v>
      </c>
    </row>
    <row r="98" spans="1:26" s="10" customFormat="1" ht="27.75" customHeight="1">
      <c r="A98" s="60">
        <v>7</v>
      </c>
      <c r="B98" s="46" t="s">
        <v>673</v>
      </c>
      <c r="C98" s="30"/>
      <c r="D98" s="30"/>
      <c r="E98" s="192">
        <f t="shared" si="47"/>
        <v>6.0607500000000005</v>
      </c>
      <c r="F98" s="361">
        <v>3.33</v>
      </c>
      <c r="G98" s="353">
        <f t="shared" si="48"/>
        <v>1.9815</v>
      </c>
      <c r="H98" s="39"/>
      <c r="I98" s="39"/>
      <c r="J98" s="39"/>
      <c r="K98" s="39"/>
      <c r="L98" s="39"/>
      <c r="M98" s="39"/>
      <c r="N98" s="43">
        <f t="shared" si="51"/>
        <v>0.15</v>
      </c>
      <c r="O98" s="39"/>
      <c r="P98" s="39"/>
      <c r="Q98" s="39"/>
      <c r="R98" s="39"/>
      <c r="S98" s="39"/>
      <c r="T98" s="39">
        <f t="shared" si="49"/>
        <v>0.83250000000000002</v>
      </c>
      <c r="U98" s="39">
        <f t="shared" si="50"/>
        <v>0.99900000000000011</v>
      </c>
      <c r="V98" s="359"/>
      <c r="W98" s="39"/>
      <c r="X98" s="39">
        <f t="shared" si="46"/>
        <v>0.74924999999999997</v>
      </c>
      <c r="Y98" s="32">
        <f t="shared" si="52"/>
        <v>606075</v>
      </c>
      <c r="Z98" s="32">
        <f t="shared" si="53"/>
        <v>3636450</v>
      </c>
    </row>
    <row r="99" spans="1:26" s="10" customFormat="1" ht="27.75" customHeight="1">
      <c r="A99" s="60">
        <v>8</v>
      </c>
      <c r="B99" s="46" t="s">
        <v>189</v>
      </c>
      <c r="C99" s="30"/>
      <c r="D99" s="30"/>
      <c r="E99" s="192">
        <f t="shared" si="47"/>
        <v>5.4749999999999996</v>
      </c>
      <c r="F99" s="361">
        <v>3</v>
      </c>
      <c r="G99" s="353">
        <f t="shared" si="48"/>
        <v>1.8</v>
      </c>
      <c r="H99" s="39"/>
      <c r="I99" s="39"/>
      <c r="J99" s="39"/>
      <c r="K99" s="39"/>
      <c r="L99" s="39"/>
      <c r="M99" s="39"/>
      <c r="N99" s="43">
        <f t="shared" si="51"/>
        <v>0.15</v>
      </c>
      <c r="O99" s="39"/>
      <c r="P99" s="39"/>
      <c r="Q99" s="39"/>
      <c r="R99" s="39"/>
      <c r="S99" s="39"/>
      <c r="T99" s="39">
        <f t="shared" si="49"/>
        <v>0.75</v>
      </c>
      <c r="U99" s="39">
        <f t="shared" si="50"/>
        <v>0.9</v>
      </c>
      <c r="V99" s="359"/>
      <c r="W99" s="39"/>
      <c r="X99" s="39">
        <f t="shared" si="46"/>
        <v>0.67500000000000004</v>
      </c>
      <c r="Y99" s="32">
        <f t="shared" si="52"/>
        <v>547500</v>
      </c>
      <c r="Z99" s="32">
        <f t="shared" si="53"/>
        <v>3285000</v>
      </c>
    </row>
    <row r="100" spans="1:26" s="10" customFormat="1" ht="27.75" customHeight="1">
      <c r="A100" s="60">
        <v>9</v>
      </c>
      <c r="B100" s="46" t="s">
        <v>190</v>
      </c>
      <c r="C100" s="30"/>
      <c r="D100" s="30"/>
      <c r="E100" s="192">
        <f t="shared" si="47"/>
        <v>5.4749999999999996</v>
      </c>
      <c r="F100" s="361">
        <v>3</v>
      </c>
      <c r="G100" s="353">
        <f t="shared" si="48"/>
        <v>1.8</v>
      </c>
      <c r="H100" s="39"/>
      <c r="I100" s="39"/>
      <c r="J100" s="39"/>
      <c r="K100" s="39"/>
      <c r="L100" s="39"/>
      <c r="M100" s="39"/>
      <c r="N100" s="43">
        <f t="shared" si="51"/>
        <v>0.15</v>
      </c>
      <c r="O100" s="39"/>
      <c r="P100" s="39"/>
      <c r="Q100" s="39"/>
      <c r="R100" s="39"/>
      <c r="S100" s="39"/>
      <c r="T100" s="39">
        <f t="shared" si="49"/>
        <v>0.75</v>
      </c>
      <c r="U100" s="39">
        <f t="shared" si="50"/>
        <v>0.9</v>
      </c>
      <c r="V100" s="359"/>
      <c r="W100" s="39"/>
      <c r="X100" s="39">
        <f t="shared" si="46"/>
        <v>0.67500000000000004</v>
      </c>
      <c r="Y100" s="32">
        <f t="shared" si="52"/>
        <v>547500</v>
      </c>
      <c r="Z100" s="32">
        <f t="shared" si="53"/>
        <v>3285000</v>
      </c>
    </row>
    <row r="101" spans="1:26" s="10" customFormat="1" ht="27.75" customHeight="1">
      <c r="A101" s="60">
        <v>10</v>
      </c>
      <c r="B101" s="46" t="s">
        <v>191</v>
      </c>
      <c r="C101" s="30"/>
      <c r="D101" s="30"/>
      <c r="E101" s="192">
        <f t="shared" si="47"/>
        <v>5.4749999999999996</v>
      </c>
      <c r="F101" s="361">
        <v>3</v>
      </c>
      <c r="G101" s="353">
        <f t="shared" si="48"/>
        <v>1.8</v>
      </c>
      <c r="H101" s="39"/>
      <c r="I101" s="39"/>
      <c r="J101" s="39"/>
      <c r="K101" s="39"/>
      <c r="L101" s="39"/>
      <c r="M101" s="39"/>
      <c r="N101" s="43">
        <f t="shared" si="51"/>
        <v>0.15</v>
      </c>
      <c r="O101" s="39"/>
      <c r="P101" s="39"/>
      <c r="Q101" s="39"/>
      <c r="R101" s="39"/>
      <c r="S101" s="39"/>
      <c r="T101" s="39">
        <f t="shared" si="49"/>
        <v>0.75</v>
      </c>
      <c r="U101" s="39">
        <f t="shared" si="50"/>
        <v>0.9</v>
      </c>
      <c r="V101" s="359"/>
      <c r="W101" s="39"/>
      <c r="X101" s="39">
        <f t="shared" si="46"/>
        <v>0.67500000000000004</v>
      </c>
      <c r="Y101" s="32">
        <f t="shared" si="52"/>
        <v>547500</v>
      </c>
      <c r="Z101" s="32">
        <f t="shared" si="53"/>
        <v>3285000</v>
      </c>
    </row>
    <row r="102" spans="1:26" s="10" customFormat="1" ht="27.75" customHeight="1">
      <c r="A102" s="60">
        <v>11</v>
      </c>
      <c r="B102" s="46" t="s">
        <v>192</v>
      </c>
      <c r="C102" s="30"/>
      <c r="D102" s="30"/>
      <c r="E102" s="192">
        <f t="shared" si="47"/>
        <v>4.8715000000000011</v>
      </c>
      <c r="F102" s="361">
        <v>2.66</v>
      </c>
      <c r="G102" s="353">
        <f t="shared" si="48"/>
        <v>1.6130000000000002</v>
      </c>
      <c r="H102" s="39"/>
      <c r="I102" s="39"/>
      <c r="J102" s="39"/>
      <c r="K102" s="39"/>
      <c r="L102" s="39"/>
      <c r="M102" s="39"/>
      <c r="N102" s="43">
        <f t="shared" si="51"/>
        <v>0.15</v>
      </c>
      <c r="O102" s="39"/>
      <c r="P102" s="39"/>
      <c r="Q102" s="39"/>
      <c r="R102" s="39"/>
      <c r="S102" s="39"/>
      <c r="T102" s="39">
        <f t="shared" si="49"/>
        <v>0.66500000000000004</v>
      </c>
      <c r="U102" s="39">
        <f t="shared" si="50"/>
        <v>0.79800000000000015</v>
      </c>
      <c r="V102" s="359"/>
      <c r="W102" s="39"/>
      <c r="X102" s="39">
        <f t="shared" si="46"/>
        <v>0.59850000000000003</v>
      </c>
      <c r="Y102" s="32">
        <f t="shared" si="52"/>
        <v>487150.00000000012</v>
      </c>
      <c r="Z102" s="32">
        <f t="shared" si="53"/>
        <v>2922900.0000000009</v>
      </c>
    </row>
    <row r="103" spans="1:26" s="10" customFormat="1" ht="27.75" customHeight="1">
      <c r="A103" s="60">
        <v>12</v>
      </c>
      <c r="B103" s="46" t="s">
        <v>193</v>
      </c>
      <c r="C103" s="30"/>
      <c r="D103" s="30"/>
      <c r="E103" s="192">
        <f t="shared" si="47"/>
        <v>4.8892499999999997</v>
      </c>
      <c r="F103" s="361">
        <v>2.67</v>
      </c>
      <c r="G103" s="353">
        <f t="shared" si="48"/>
        <v>1.6185</v>
      </c>
      <c r="H103" s="39"/>
      <c r="I103" s="39"/>
      <c r="J103" s="39"/>
      <c r="K103" s="39"/>
      <c r="L103" s="39"/>
      <c r="M103" s="39"/>
      <c r="N103" s="43">
        <f t="shared" si="51"/>
        <v>0.15</v>
      </c>
      <c r="O103" s="39"/>
      <c r="P103" s="39"/>
      <c r="Q103" s="39"/>
      <c r="R103" s="39"/>
      <c r="S103" s="39"/>
      <c r="T103" s="39">
        <f t="shared" si="49"/>
        <v>0.66749999999999998</v>
      </c>
      <c r="U103" s="39">
        <f t="shared" si="50"/>
        <v>0.80099999999999993</v>
      </c>
      <c r="V103" s="359"/>
      <c r="W103" s="39"/>
      <c r="X103" s="39">
        <f t="shared" si="46"/>
        <v>0.60075000000000001</v>
      </c>
      <c r="Y103" s="32">
        <f t="shared" si="52"/>
        <v>488924.99999999994</v>
      </c>
      <c r="Z103" s="32">
        <f t="shared" si="53"/>
        <v>2933549.9999999995</v>
      </c>
    </row>
    <row r="104" spans="1:26" s="10" customFormat="1" ht="27.75" customHeight="1">
      <c r="A104" s="60">
        <v>13</v>
      </c>
      <c r="B104" s="49" t="s">
        <v>194</v>
      </c>
      <c r="C104" s="30"/>
      <c r="D104" s="30"/>
      <c r="E104" s="192">
        <f t="shared" si="47"/>
        <v>5.56325</v>
      </c>
      <c r="F104" s="358">
        <v>3.67</v>
      </c>
      <c r="G104" s="353">
        <f t="shared" si="48"/>
        <v>1.0674999999999999</v>
      </c>
      <c r="H104" s="39"/>
      <c r="I104" s="39"/>
      <c r="J104" s="39"/>
      <c r="K104" s="39"/>
      <c r="L104" s="39"/>
      <c r="M104" s="39"/>
      <c r="N104" s="43">
        <f t="shared" si="51"/>
        <v>0.15</v>
      </c>
      <c r="O104" s="39"/>
      <c r="P104" s="39"/>
      <c r="Q104" s="39"/>
      <c r="R104" s="39"/>
      <c r="S104" s="39"/>
      <c r="T104" s="39">
        <f t="shared" si="49"/>
        <v>0.91749999999999998</v>
      </c>
      <c r="U104" s="39"/>
      <c r="V104" s="359"/>
      <c r="W104" s="39"/>
      <c r="X104" s="39">
        <f t="shared" si="46"/>
        <v>0.82574999999999998</v>
      </c>
      <c r="Y104" s="32">
        <f t="shared" si="52"/>
        <v>556325</v>
      </c>
      <c r="Z104" s="32">
        <f t="shared" si="53"/>
        <v>3337950</v>
      </c>
    </row>
    <row r="105" spans="1:26" s="10" customFormat="1" ht="27.75" customHeight="1">
      <c r="A105" s="60">
        <v>14</v>
      </c>
      <c r="B105" s="49" t="s">
        <v>195</v>
      </c>
      <c r="C105" s="30"/>
      <c r="D105" s="30"/>
      <c r="E105" s="192">
        <f t="shared" si="47"/>
        <v>4.9780000000000006</v>
      </c>
      <c r="F105" s="358">
        <v>2.72</v>
      </c>
      <c r="G105" s="353">
        <f t="shared" si="48"/>
        <v>1.6460000000000001</v>
      </c>
      <c r="H105" s="39"/>
      <c r="I105" s="39"/>
      <c r="J105" s="39"/>
      <c r="K105" s="39"/>
      <c r="L105" s="39"/>
      <c r="M105" s="39"/>
      <c r="N105" s="43">
        <f t="shared" si="51"/>
        <v>0.15</v>
      </c>
      <c r="O105" s="39"/>
      <c r="P105" s="39"/>
      <c r="Q105" s="39"/>
      <c r="R105" s="39"/>
      <c r="S105" s="39"/>
      <c r="T105" s="39">
        <f t="shared" si="49"/>
        <v>0.68</v>
      </c>
      <c r="U105" s="39">
        <f t="shared" ref="U105:U111" si="54">(F105+I105+J105)*30/100</f>
        <v>0.81600000000000006</v>
      </c>
      <c r="V105" s="359"/>
      <c r="W105" s="39"/>
      <c r="X105" s="39">
        <f t="shared" si="46"/>
        <v>0.61199999999999999</v>
      </c>
      <c r="Y105" s="32">
        <f t="shared" si="52"/>
        <v>497800.00000000006</v>
      </c>
      <c r="Z105" s="32">
        <f t="shared" si="53"/>
        <v>2986800.0000000005</v>
      </c>
    </row>
    <row r="106" spans="1:26" s="10" customFormat="1" ht="27.75" customHeight="1">
      <c r="A106" s="60">
        <v>15</v>
      </c>
      <c r="B106" s="49" t="s">
        <v>196</v>
      </c>
      <c r="C106" s="30"/>
      <c r="D106" s="30"/>
      <c r="E106" s="192">
        <f t="shared" si="47"/>
        <v>5.4749999999999996</v>
      </c>
      <c r="F106" s="358">
        <v>3</v>
      </c>
      <c r="G106" s="353">
        <f t="shared" si="48"/>
        <v>1.8</v>
      </c>
      <c r="H106" s="39"/>
      <c r="I106" s="39"/>
      <c r="J106" s="39"/>
      <c r="K106" s="39"/>
      <c r="L106" s="39"/>
      <c r="M106" s="39"/>
      <c r="N106" s="43">
        <f t="shared" si="51"/>
        <v>0.15</v>
      </c>
      <c r="O106" s="39"/>
      <c r="P106" s="39"/>
      <c r="Q106" s="39"/>
      <c r="R106" s="39"/>
      <c r="S106" s="39"/>
      <c r="T106" s="39">
        <f t="shared" si="49"/>
        <v>0.75</v>
      </c>
      <c r="U106" s="39">
        <f t="shared" si="54"/>
        <v>0.9</v>
      </c>
      <c r="V106" s="359"/>
      <c r="W106" s="39"/>
      <c r="X106" s="39">
        <f t="shared" si="46"/>
        <v>0.67500000000000004</v>
      </c>
      <c r="Y106" s="32">
        <f t="shared" si="52"/>
        <v>547500</v>
      </c>
      <c r="Z106" s="32">
        <f t="shared" si="53"/>
        <v>3285000</v>
      </c>
    </row>
    <row r="107" spans="1:26" s="10" customFormat="1" ht="27.75" customHeight="1">
      <c r="A107" s="60">
        <v>16</v>
      </c>
      <c r="B107" s="49" t="s">
        <v>197</v>
      </c>
      <c r="C107" s="30"/>
      <c r="D107" s="30"/>
      <c r="E107" s="192">
        <f t="shared" si="47"/>
        <v>5.4749999999999996</v>
      </c>
      <c r="F107" s="358">
        <v>3</v>
      </c>
      <c r="G107" s="353">
        <f t="shared" si="48"/>
        <v>1.8</v>
      </c>
      <c r="H107" s="39"/>
      <c r="I107" s="39"/>
      <c r="J107" s="39"/>
      <c r="K107" s="39"/>
      <c r="L107" s="39"/>
      <c r="M107" s="39"/>
      <c r="N107" s="43">
        <f t="shared" si="51"/>
        <v>0.15</v>
      </c>
      <c r="O107" s="39"/>
      <c r="P107" s="39"/>
      <c r="Q107" s="39"/>
      <c r="R107" s="39"/>
      <c r="S107" s="39"/>
      <c r="T107" s="39">
        <f t="shared" si="49"/>
        <v>0.75</v>
      </c>
      <c r="U107" s="39">
        <f t="shared" si="54"/>
        <v>0.9</v>
      </c>
      <c r="V107" s="359"/>
      <c r="W107" s="39"/>
      <c r="X107" s="39">
        <f t="shared" si="46"/>
        <v>0.67500000000000004</v>
      </c>
      <c r="Y107" s="32">
        <f t="shared" si="52"/>
        <v>547500</v>
      </c>
      <c r="Z107" s="32">
        <f t="shared" si="53"/>
        <v>3285000</v>
      </c>
    </row>
    <row r="108" spans="1:26" s="10" customFormat="1" ht="27.75" customHeight="1">
      <c r="A108" s="60">
        <v>17</v>
      </c>
      <c r="B108" s="49" t="s">
        <v>198</v>
      </c>
      <c r="C108" s="30"/>
      <c r="D108" s="30"/>
      <c r="E108" s="192">
        <f t="shared" si="47"/>
        <v>4.6664999999999992</v>
      </c>
      <c r="F108" s="358">
        <v>2.46</v>
      </c>
      <c r="G108" s="353">
        <f t="shared" si="48"/>
        <v>1.653</v>
      </c>
      <c r="H108" s="39"/>
      <c r="I108" s="39"/>
      <c r="J108" s="39"/>
      <c r="K108" s="39"/>
      <c r="L108" s="39"/>
      <c r="M108" s="39"/>
      <c r="N108" s="43">
        <f t="shared" si="51"/>
        <v>0.15</v>
      </c>
      <c r="O108" s="39"/>
      <c r="P108" s="39"/>
      <c r="Q108" s="39"/>
      <c r="R108" s="39"/>
      <c r="S108" s="39"/>
      <c r="T108" s="39">
        <f t="shared" si="49"/>
        <v>0.61499999999999999</v>
      </c>
      <c r="U108" s="39">
        <f t="shared" si="54"/>
        <v>0.73799999999999999</v>
      </c>
      <c r="V108" s="43">
        <f>0.15</f>
        <v>0.15</v>
      </c>
      <c r="W108" s="39"/>
      <c r="X108" s="39">
        <f t="shared" si="46"/>
        <v>0.55349999999999999</v>
      </c>
      <c r="Y108" s="32">
        <f t="shared" si="52"/>
        <v>466649.99999999994</v>
      </c>
      <c r="Z108" s="32">
        <f t="shared" si="53"/>
        <v>2799899.9999999995</v>
      </c>
    </row>
    <row r="109" spans="1:26" s="10" customFormat="1" ht="27.75" customHeight="1">
      <c r="A109" s="60">
        <v>18</v>
      </c>
      <c r="B109" s="49" t="s">
        <v>199</v>
      </c>
      <c r="C109" s="30"/>
      <c r="D109" s="30"/>
      <c r="E109" s="192">
        <f t="shared" si="47"/>
        <v>5.5750000000000002</v>
      </c>
      <c r="F109" s="358">
        <v>3</v>
      </c>
      <c r="G109" s="353">
        <f t="shared" si="48"/>
        <v>1.9000000000000001</v>
      </c>
      <c r="H109" s="39"/>
      <c r="I109" s="39"/>
      <c r="J109" s="39"/>
      <c r="K109" s="39"/>
      <c r="L109" s="39"/>
      <c r="M109" s="39"/>
      <c r="N109" s="43">
        <f t="shared" si="51"/>
        <v>0.15</v>
      </c>
      <c r="O109" s="39"/>
      <c r="P109" s="39"/>
      <c r="Q109" s="39"/>
      <c r="R109" s="39"/>
      <c r="S109" s="39"/>
      <c r="T109" s="39">
        <f t="shared" si="49"/>
        <v>0.75</v>
      </c>
      <c r="U109" s="39">
        <f t="shared" si="54"/>
        <v>0.9</v>
      </c>
      <c r="V109" s="43">
        <f>0.1</f>
        <v>0.1</v>
      </c>
      <c r="W109" s="39"/>
      <c r="X109" s="39">
        <f t="shared" si="46"/>
        <v>0.67500000000000004</v>
      </c>
      <c r="Y109" s="32">
        <f t="shared" si="52"/>
        <v>557500</v>
      </c>
      <c r="Z109" s="32">
        <f t="shared" si="53"/>
        <v>3345000</v>
      </c>
    </row>
    <row r="110" spans="1:26" s="10" customFormat="1" ht="27.75" customHeight="1">
      <c r="A110" s="60">
        <v>19</v>
      </c>
      <c r="B110" s="49" t="s">
        <v>200</v>
      </c>
      <c r="C110" s="30"/>
      <c r="D110" s="30"/>
      <c r="E110" s="192">
        <f t="shared" si="47"/>
        <v>4.7164999999999999</v>
      </c>
      <c r="F110" s="358">
        <v>2.46</v>
      </c>
      <c r="G110" s="353">
        <f t="shared" si="48"/>
        <v>1.7030000000000001</v>
      </c>
      <c r="H110" s="39"/>
      <c r="I110" s="39"/>
      <c r="J110" s="39"/>
      <c r="K110" s="39"/>
      <c r="L110" s="39"/>
      <c r="M110" s="39"/>
      <c r="N110" s="43">
        <f t="shared" si="51"/>
        <v>0.15</v>
      </c>
      <c r="O110" s="39"/>
      <c r="P110" s="39"/>
      <c r="Q110" s="39"/>
      <c r="R110" s="39"/>
      <c r="S110" s="39"/>
      <c r="T110" s="39">
        <f t="shared" si="49"/>
        <v>0.61499999999999999</v>
      </c>
      <c r="U110" s="39">
        <f t="shared" si="54"/>
        <v>0.73799999999999999</v>
      </c>
      <c r="V110" s="43">
        <v>0.2</v>
      </c>
      <c r="W110" s="39"/>
      <c r="X110" s="39">
        <f t="shared" si="46"/>
        <v>0.55349999999999999</v>
      </c>
      <c r="Y110" s="32">
        <f t="shared" si="52"/>
        <v>471650</v>
      </c>
      <c r="Z110" s="32">
        <f t="shared" si="53"/>
        <v>2829900</v>
      </c>
    </row>
    <row r="111" spans="1:26" s="10" customFormat="1" ht="27.75" customHeight="1">
      <c r="A111" s="60">
        <v>20</v>
      </c>
      <c r="B111" s="49" t="s">
        <v>130</v>
      </c>
      <c r="C111" s="30"/>
      <c r="D111" s="30"/>
      <c r="E111" s="192">
        <f t="shared" si="47"/>
        <v>7.7647500000000003</v>
      </c>
      <c r="F111" s="358">
        <v>3.99</v>
      </c>
      <c r="G111" s="353">
        <f t="shared" si="48"/>
        <v>2.8094999999999999</v>
      </c>
      <c r="H111" s="39"/>
      <c r="I111" s="39">
        <v>0.3</v>
      </c>
      <c r="J111" s="39"/>
      <c r="K111" s="39"/>
      <c r="L111" s="39"/>
      <c r="M111" s="39"/>
      <c r="N111" s="43">
        <f t="shared" si="51"/>
        <v>0.15</v>
      </c>
      <c r="O111" s="39"/>
      <c r="P111" s="39"/>
      <c r="Q111" s="39"/>
      <c r="R111" s="39"/>
      <c r="S111" s="39"/>
      <c r="T111" s="39">
        <f t="shared" si="49"/>
        <v>1.0725</v>
      </c>
      <c r="U111" s="39">
        <f t="shared" si="54"/>
        <v>1.2869999999999999</v>
      </c>
      <c r="V111" s="355"/>
      <c r="W111" s="39"/>
      <c r="X111" s="39">
        <f t="shared" si="46"/>
        <v>0.96525000000000005</v>
      </c>
      <c r="Y111" s="32">
        <f t="shared" si="52"/>
        <v>776475</v>
      </c>
      <c r="Z111" s="32">
        <f t="shared" si="53"/>
        <v>4658850</v>
      </c>
    </row>
    <row r="112" spans="1:26" s="10" customFormat="1" ht="27.75" customHeight="1">
      <c r="A112" s="60">
        <v>21</v>
      </c>
      <c r="B112" s="49" t="s">
        <v>201</v>
      </c>
      <c r="C112" s="30"/>
      <c r="D112" s="30"/>
      <c r="E112" s="192">
        <f t="shared" si="47"/>
        <v>2.1560000000000001</v>
      </c>
      <c r="F112" s="358">
        <v>1.36</v>
      </c>
      <c r="G112" s="353">
        <f t="shared" si="48"/>
        <v>0.49</v>
      </c>
      <c r="H112" s="39"/>
      <c r="I112" s="39"/>
      <c r="J112" s="39"/>
      <c r="K112" s="39"/>
      <c r="L112" s="39"/>
      <c r="M112" s="39"/>
      <c r="N112" s="43">
        <f t="shared" si="51"/>
        <v>0.15</v>
      </c>
      <c r="O112" s="39"/>
      <c r="P112" s="39"/>
      <c r="Q112" s="39"/>
      <c r="R112" s="39"/>
      <c r="S112" s="39"/>
      <c r="T112" s="39">
        <f>(F112+I112+J112)*25/100</f>
        <v>0.34</v>
      </c>
      <c r="U112" s="39"/>
      <c r="V112" s="355"/>
      <c r="W112" s="39"/>
      <c r="X112" s="39">
        <f t="shared" si="46"/>
        <v>0.30599999999999999</v>
      </c>
      <c r="Y112" s="32">
        <f t="shared" si="52"/>
        <v>215600</v>
      </c>
      <c r="Z112" s="32">
        <f t="shared" si="53"/>
        <v>1293600</v>
      </c>
    </row>
    <row r="113" spans="1:26" s="10" customFormat="1" ht="27.75" customHeight="1">
      <c r="A113" s="60"/>
      <c r="B113" s="193" t="s">
        <v>674</v>
      </c>
      <c r="C113" s="30">
        <v>8</v>
      </c>
      <c r="D113" s="30">
        <v>8</v>
      </c>
      <c r="E113" s="190">
        <f>SUM(E114:E121)</f>
        <v>61.918518000000006</v>
      </c>
      <c r="F113" s="63">
        <f t="shared" ref="F113:Y113" si="55">SUM(F114:F121)</f>
        <v>37.940000000000005</v>
      </c>
      <c r="G113" s="63">
        <f t="shared" si="55"/>
        <v>14.483500000000001</v>
      </c>
      <c r="H113" s="63">
        <f t="shared" si="55"/>
        <v>0</v>
      </c>
      <c r="I113" s="63">
        <f t="shared" si="55"/>
        <v>3.7000000000000006</v>
      </c>
      <c r="J113" s="63">
        <f t="shared" si="55"/>
        <v>0.29880000000000001</v>
      </c>
      <c r="K113" s="63">
        <f t="shared" si="55"/>
        <v>0</v>
      </c>
      <c r="L113" s="63">
        <f t="shared" si="55"/>
        <v>0</v>
      </c>
      <c r="M113" s="63">
        <f t="shared" si="55"/>
        <v>0</v>
      </c>
      <c r="N113" s="63">
        <f t="shared" si="55"/>
        <v>0</v>
      </c>
      <c r="O113" s="63">
        <f t="shared" si="55"/>
        <v>0</v>
      </c>
      <c r="P113" s="63">
        <f t="shared" si="55"/>
        <v>0</v>
      </c>
      <c r="Q113" s="63">
        <f t="shared" si="55"/>
        <v>0</v>
      </c>
      <c r="R113" s="63">
        <f t="shared" si="55"/>
        <v>0</v>
      </c>
      <c r="S113" s="63">
        <f t="shared" si="55"/>
        <v>0</v>
      </c>
      <c r="T113" s="63">
        <f t="shared" si="55"/>
        <v>10.4847</v>
      </c>
      <c r="U113" s="63">
        <f t="shared" si="55"/>
        <v>0</v>
      </c>
      <c r="V113" s="63">
        <f t="shared" si="55"/>
        <v>0</v>
      </c>
      <c r="W113" s="63">
        <f t="shared" si="55"/>
        <v>0</v>
      </c>
      <c r="X113" s="63">
        <f t="shared" si="55"/>
        <v>9.4950179999999982</v>
      </c>
      <c r="Y113" s="191">
        <f t="shared" si="55"/>
        <v>6191851.8000000007</v>
      </c>
      <c r="Z113" s="191">
        <f>SUM(Z114:Z121)</f>
        <v>37151110.800000004</v>
      </c>
    </row>
    <row r="114" spans="1:26" s="10" customFormat="1" ht="27.75" customHeight="1">
      <c r="A114" s="60">
        <v>1</v>
      </c>
      <c r="B114" s="46" t="s">
        <v>177</v>
      </c>
      <c r="C114" s="30"/>
      <c r="D114" s="30"/>
      <c r="E114" s="192">
        <f t="shared" ref="E114:E121" si="56">+F114+G114+X114</f>
        <v>9.027000000000001</v>
      </c>
      <c r="F114" s="361">
        <v>5.42</v>
      </c>
      <c r="G114" s="353">
        <f t="shared" ref="G114:G121" si="57">+SUM(H114:W114)</f>
        <v>2.23</v>
      </c>
      <c r="H114" s="39"/>
      <c r="I114" s="361">
        <v>0.7</v>
      </c>
      <c r="J114" s="361"/>
      <c r="K114" s="39"/>
      <c r="L114" s="39"/>
      <c r="M114" s="39"/>
      <c r="N114" s="43"/>
      <c r="O114" s="39"/>
      <c r="P114" s="39"/>
      <c r="Q114" s="39"/>
      <c r="R114" s="39"/>
      <c r="S114" s="39"/>
      <c r="T114" s="39">
        <f t="shared" ref="T114:T121" si="58">(F114+I114+J114)*25/100</f>
        <v>1.53</v>
      </c>
      <c r="U114" s="39"/>
      <c r="V114" s="359"/>
      <c r="W114" s="39"/>
      <c r="X114" s="39">
        <f>(F114+I114+J114+K114)*22.5/100</f>
        <v>1.3769999999999998</v>
      </c>
      <c r="Y114" s="32">
        <f t="shared" si="52"/>
        <v>902700.00000000012</v>
      </c>
      <c r="Z114" s="32">
        <f t="shared" si="53"/>
        <v>5416200.0000000009</v>
      </c>
    </row>
    <row r="115" spans="1:26" s="10" customFormat="1" ht="27.75" customHeight="1">
      <c r="A115" s="60">
        <v>2</v>
      </c>
      <c r="B115" s="46" t="s">
        <v>178</v>
      </c>
      <c r="C115" s="30"/>
      <c r="D115" s="30"/>
      <c r="E115" s="192">
        <f t="shared" si="56"/>
        <v>8.7300180000000012</v>
      </c>
      <c r="F115" s="361">
        <v>4.9800000000000004</v>
      </c>
      <c r="G115" s="353">
        <f t="shared" si="57"/>
        <v>2.3685</v>
      </c>
      <c r="H115" s="39"/>
      <c r="I115" s="361">
        <v>0.6</v>
      </c>
      <c r="J115" s="362">
        <v>0.29880000000000001</v>
      </c>
      <c r="K115" s="39"/>
      <c r="L115" s="39"/>
      <c r="M115" s="39"/>
      <c r="N115" s="355"/>
      <c r="O115" s="39"/>
      <c r="P115" s="39"/>
      <c r="Q115" s="39"/>
      <c r="R115" s="39"/>
      <c r="S115" s="39"/>
      <c r="T115" s="39">
        <f t="shared" si="58"/>
        <v>1.4697</v>
      </c>
      <c r="U115" s="39"/>
      <c r="V115" s="359"/>
      <c r="W115" s="39"/>
      <c r="X115" s="39">
        <f>(F115+I115+J115+K115)*23.5/100</f>
        <v>1.381518</v>
      </c>
      <c r="Y115" s="32">
        <f t="shared" si="52"/>
        <v>873001.80000000016</v>
      </c>
      <c r="Z115" s="32">
        <f t="shared" si="53"/>
        <v>5238010.8000000007</v>
      </c>
    </row>
    <row r="116" spans="1:26" s="10" customFormat="1" ht="27.75" customHeight="1">
      <c r="A116" s="60">
        <v>3</v>
      </c>
      <c r="B116" s="46" t="s">
        <v>179</v>
      </c>
      <c r="C116" s="30"/>
      <c r="D116" s="30"/>
      <c r="E116" s="192">
        <f t="shared" si="56"/>
        <v>8.8795000000000002</v>
      </c>
      <c r="F116" s="361">
        <f>5.08+0.34</f>
        <v>5.42</v>
      </c>
      <c r="G116" s="353">
        <f t="shared" si="57"/>
        <v>2.105</v>
      </c>
      <c r="H116" s="39"/>
      <c r="I116" s="361">
        <v>0.6</v>
      </c>
      <c r="J116" s="39"/>
      <c r="K116" s="39"/>
      <c r="L116" s="39"/>
      <c r="M116" s="39"/>
      <c r="N116" s="355"/>
      <c r="O116" s="39"/>
      <c r="P116" s="39"/>
      <c r="Q116" s="39"/>
      <c r="R116" s="39"/>
      <c r="S116" s="39"/>
      <c r="T116" s="39">
        <f t="shared" si="58"/>
        <v>1.5049999999999999</v>
      </c>
      <c r="U116" s="39"/>
      <c r="V116" s="359"/>
      <c r="W116" s="39"/>
      <c r="X116" s="39">
        <f t="shared" ref="X116:X121" si="59">(F116+I116+J116+K116)*22.5/100</f>
        <v>1.3544999999999998</v>
      </c>
      <c r="Y116" s="32">
        <f t="shared" si="52"/>
        <v>887950</v>
      </c>
      <c r="Z116" s="32">
        <f t="shared" si="53"/>
        <v>5327700</v>
      </c>
    </row>
    <row r="117" spans="1:26" s="10" customFormat="1" ht="27.75" customHeight="1">
      <c r="A117" s="60">
        <v>4</v>
      </c>
      <c r="B117" s="49" t="s">
        <v>180</v>
      </c>
      <c r="C117" s="30"/>
      <c r="D117" s="30"/>
      <c r="E117" s="192">
        <f t="shared" si="56"/>
        <v>7.375</v>
      </c>
      <c r="F117" s="358">
        <v>4.4000000000000004</v>
      </c>
      <c r="G117" s="353">
        <f t="shared" si="57"/>
        <v>1.85</v>
      </c>
      <c r="H117" s="39"/>
      <c r="I117" s="358">
        <v>0.6</v>
      </c>
      <c r="J117" s="39"/>
      <c r="K117" s="39"/>
      <c r="L117" s="39"/>
      <c r="M117" s="39"/>
      <c r="N117" s="355"/>
      <c r="O117" s="39"/>
      <c r="P117" s="39"/>
      <c r="Q117" s="39"/>
      <c r="R117" s="39"/>
      <c r="S117" s="39"/>
      <c r="T117" s="39">
        <f t="shared" si="58"/>
        <v>1.25</v>
      </c>
      <c r="U117" s="39"/>
      <c r="V117" s="359"/>
      <c r="W117" s="39"/>
      <c r="X117" s="39">
        <f t="shared" si="59"/>
        <v>1.125</v>
      </c>
      <c r="Y117" s="32">
        <f t="shared" si="52"/>
        <v>737500</v>
      </c>
      <c r="Z117" s="32">
        <f t="shared" si="53"/>
        <v>4425000</v>
      </c>
    </row>
    <row r="118" spans="1:26" s="10" customFormat="1" ht="27.75" customHeight="1">
      <c r="A118" s="60">
        <v>5</v>
      </c>
      <c r="B118" s="46" t="s">
        <v>181</v>
      </c>
      <c r="C118" s="30"/>
      <c r="D118" s="30"/>
      <c r="E118" s="192">
        <f t="shared" si="56"/>
        <v>8.8795000000000002</v>
      </c>
      <c r="F118" s="358">
        <v>5.42</v>
      </c>
      <c r="G118" s="353">
        <f t="shared" si="57"/>
        <v>2.105</v>
      </c>
      <c r="H118" s="39"/>
      <c r="I118" s="358">
        <v>0.6</v>
      </c>
      <c r="J118" s="39"/>
      <c r="K118" s="39"/>
      <c r="L118" s="39"/>
      <c r="M118" s="39"/>
      <c r="N118" s="355"/>
      <c r="O118" s="39"/>
      <c r="P118" s="39"/>
      <c r="Q118" s="39"/>
      <c r="R118" s="39"/>
      <c r="S118" s="39"/>
      <c r="T118" s="39">
        <f t="shared" si="58"/>
        <v>1.5049999999999999</v>
      </c>
      <c r="U118" s="39"/>
      <c r="V118" s="359"/>
      <c r="W118" s="39"/>
      <c r="X118" s="39">
        <f t="shared" si="59"/>
        <v>1.3544999999999998</v>
      </c>
      <c r="Y118" s="32">
        <f t="shared" si="52"/>
        <v>887950</v>
      </c>
      <c r="Z118" s="32">
        <f t="shared" si="53"/>
        <v>5327700</v>
      </c>
    </row>
    <row r="119" spans="1:26" s="10" customFormat="1" ht="27.75" customHeight="1">
      <c r="A119" s="60">
        <v>6</v>
      </c>
      <c r="B119" s="46" t="s">
        <v>183</v>
      </c>
      <c r="C119" s="30"/>
      <c r="D119" s="30"/>
      <c r="E119" s="192">
        <f t="shared" si="56"/>
        <v>6.6670000000000007</v>
      </c>
      <c r="F119" s="361">
        <v>4.32</v>
      </c>
      <c r="G119" s="353">
        <f t="shared" si="57"/>
        <v>1.33</v>
      </c>
      <c r="H119" s="39"/>
      <c r="I119" s="362">
        <v>0.2</v>
      </c>
      <c r="J119" s="39"/>
      <c r="K119" s="39"/>
      <c r="L119" s="39"/>
      <c r="M119" s="39"/>
      <c r="N119" s="355"/>
      <c r="O119" s="39"/>
      <c r="P119" s="39"/>
      <c r="Q119" s="39"/>
      <c r="R119" s="39"/>
      <c r="S119" s="39"/>
      <c r="T119" s="39">
        <f t="shared" si="58"/>
        <v>1.1300000000000001</v>
      </c>
      <c r="U119" s="39"/>
      <c r="V119" s="359"/>
      <c r="W119" s="39"/>
      <c r="X119" s="39">
        <f t="shared" si="59"/>
        <v>1.0170000000000001</v>
      </c>
      <c r="Y119" s="32">
        <f t="shared" si="52"/>
        <v>666700.00000000012</v>
      </c>
      <c r="Z119" s="32">
        <f t="shared" si="53"/>
        <v>4000200.0000000009</v>
      </c>
    </row>
    <row r="120" spans="1:26" s="10" customFormat="1" ht="27.75" customHeight="1">
      <c r="A120" s="60">
        <v>7</v>
      </c>
      <c r="B120" s="46" t="s">
        <v>184</v>
      </c>
      <c r="C120" s="30"/>
      <c r="D120" s="30"/>
      <c r="E120" s="192">
        <f t="shared" si="56"/>
        <v>5.6935000000000002</v>
      </c>
      <c r="F120" s="361">
        <v>3.66</v>
      </c>
      <c r="G120" s="353">
        <f t="shared" si="57"/>
        <v>1.1650000000000003</v>
      </c>
      <c r="H120" s="39"/>
      <c r="I120" s="362">
        <v>0.2</v>
      </c>
      <c r="J120" s="39"/>
      <c r="K120" s="39"/>
      <c r="L120" s="39"/>
      <c r="M120" s="39"/>
      <c r="N120" s="355"/>
      <c r="O120" s="39"/>
      <c r="P120" s="39"/>
      <c r="Q120" s="39"/>
      <c r="R120" s="39"/>
      <c r="S120" s="39"/>
      <c r="T120" s="39">
        <f t="shared" si="58"/>
        <v>0.96500000000000019</v>
      </c>
      <c r="U120" s="39"/>
      <c r="V120" s="359"/>
      <c r="W120" s="39"/>
      <c r="X120" s="39">
        <f t="shared" si="59"/>
        <v>0.86850000000000005</v>
      </c>
      <c r="Y120" s="32">
        <f t="shared" si="52"/>
        <v>569350</v>
      </c>
      <c r="Z120" s="32">
        <f t="shared" si="53"/>
        <v>3416100</v>
      </c>
    </row>
    <row r="121" spans="1:26" s="10" customFormat="1" ht="27.75" customHeight="1">
      <c r="A121" s="60">
        <v>8</v>
      </c>
      <c r="B121" s="46" t="s">
        <v>185</v>
      </c>
      <c r="C121" s="30"/>
      <c r="D121" s="30"/>
      <c r="E121" s="192">
        <f t="shared" si="56"/>
        <v>6.6670000000000007</v>
      </c>
      <c r="F121" s="361">
        <v>4.32</v>
      </c>
      <c r="G121" s="353">
        <f t="shared" si="57"/>
        <v>1.33</v>
      </c>
      <c r="H121" s="39"/>
      <c r="I121" s="362">
        <v>0.2</v>
      </c>
      <c r="J121" s="39"/>
      <c r="K121" s="39"/>
      <c r="L121" s="39"/>
      <c r="M121" s="39"/>
      <c r="N121" s="355"/>
      <c r="O121" s="39"/>
      <c r="P121" s="39"/>
      <c r="Q121" s="39"/>
      <c r="R121" s="39"/>
      <c r="S121" s="39"/>
      <c r="T121" s="39">
        <f t="shared" si="58"/>
        <v>1.1300000000000001</v>
      </c>
      <c r="U121" s="39"/>
      <c r="V121" s="359"/>
      <c r="W121" s="39"/>
      <c r="X121" s="39">
        <f t="shared" si="59"/>
        <v>1.0170000000000001</v>
      </c>
      <c r="Y121" s="32">
        <f t="shared" si="52"/>
        <v>666700.00000000012</v>
      </c>
      <c r="Z121" s="32">
        <f t="shared" si="53"/>
        <v>4000200.0000000009</v>
      </c>
    </row>
    <row r="122" spans="1:26" s="10" customFormat="1" ht="27.95" customHeight="1">
      <c r="A122" s="194" t="s">
        <v>3</v>
      </c>
      <c r="B122" s="47" t="s">
        <v>209</v>
      </c>
      <c r="C122" s="30">
        <v>6</v>
      </c>
      <c r="D122" s="30">
        <v>6</v>
      </c>
      <c r="E122" s="40">
        <f>SUM(E123:E128)</f>
        <v>43.274000000000001</v>
      </c>
      <c r="F122" s="63">
        <f t="shared" ref="F122:Z122" si="60">SUM(F123:F128)</f>
        <v>22.36</v>
      </c>
      <c r="G122" s="63">
        <f t="shared" si="60"/>
        <v>15.568000000000001</v>
      </c>
      <c r="H122" s="63">
        <f t="shared" si="60"/>
        <v>0</v>
      </c>
      <c r="I122" s="63">
        <f t="shared" si="60"/>
        <v>1.4</v>
      </c>
      <c r="J122" s="63">
        <f t="shared" si="60"/>
        <v>0</v>
      </c>
      <c r="K122" s="63">
        <f t="shared" si="60"/>
        <v>0</v>
      </c>
      <c r="L122" s="63">
        <f t="shared" si="60"/>
        <v>0</v>
      </c>
      <c r="M122" s="63">
        <f t="shared" si="60"/>
        <v>0</v>
      </c>
      <c r="N122" s="63">
        <f t="shared" si="60"/>
        <v>0.9</v>
      </c>
      <c r="O122" s="63">
        <f t="shared" si="60"/>
        <v>0</v>
      </c>
      <c r="P122" s="63">
        <f t="shared" si="60"/>
        <v>0</v>
      </c>
      <c r="Q122" s="63">
        <f t="shared" si="60"/>
        <v>0</v>
      </c>
      <c r="R122" s="63">
        <f t="shared" si="60"/>
        <v>0</v>
      </c>
      <c r="S122" s="63">
        <f t="shared" si="60"/>
        <v>0</v>
      </c>
      <c r="T122" s="63">
        <f t="shared" si="60"/>
        <v>5.9399999999999995</v>
      </c>
      <c r="U122" s="63">
        <f t="shared" si="60"/>
        <v>7.1280000000000001</v>
      </c>
      <c r="V122" s="63">
        <f t="shared" si="60"/>
        <v>0</v>
      </c>
      <c r="W122" s="63">
        <f t="shared" si="60"/>
        <v>0.2</v>
      </c>
      <c r="X122" s="63">
        <f t="shared" si="60"/>
        <v>5.3459999999999992</v>
      </c>
      <c r="Y122" s="33">
        <f t="shared" si="60"/>
        <v>4327400</v>
      </c>
      <c r="Z122" s="33">
        <f t="shared" si="60"/>
        <v>25964400</v>
      </c>
    </row>
    <row r="123" spans="1:26" s="10" customFormat="1" ht="27.95" customHeight="1">
      <c r="A123" s="60">
        <v>1</v>
      </c>
      <c r="B123" s="72" t="s">
        <v>204</v>
      </c>
      <c r="C123" s="30"/>
      <c r="D123" s="30"/>
      <c r="E123" s="37">
        <f t="shared" ref="E123:E128" si="61">+F123+G123+X123</f>
        <v>12.0425</v>
      </c>
      <c r="F123" s="358">
        <v>6.1</v>
      </c>
      <c r="G123" s="353">
        <f t="shared" ref="G123:G130" si="62">+SUM(H123:W123)</f>
        <v>4.4349999999999996</v>
      </c>
      <c r="H123" s="39"/>
      <c r="I123" s="358">
        <v>0.6</v>
      </c>
      <c r="J123" s="41"/>
      <c r="K123" s="41"/>
      <c r="L123" s="41"/>
      <c r="M123" s="41"/>
      <c r="N123" s="43">
        <f t="shared" ref="N123:N133" si="63">0.15</f>
        <v>0.15</v>
      </c>
      <c r="O123" s="41"/>
      <c r="P123" s="41"/>
      <c r="Q123" s="41"/>
      <c r="R123" s="41"/>
      <c r="S123" s="41"/>
      <c r="T123" s="39">
        <f t="shared" ref="T123:T130" si="64">(F123+I123+J123)*25/100</f>
        <v>1.6749999999999998</v>
      </c>
      <c r="U123" s="39">
        <f t="shared" ref="U123:U128" si="65">(F123+I123+J123)*30/100</f>
        <v>2.0099999999999998</v>
      </c>
      <c r="V123" s="41"/>
      <c r="W123" s="41"/>
      <c r="X123" s="39">
        <f t="shared" ref="X123:X128" si="66">(F123+I123+J123+K123)*22.5/100</f>
        <v>1.5074999999999996</v>
      </c>
      <c r="Y123" s="32">
        <f t="shared" ref="Y123:Y128" si="67">E123*100000</f>
        <v>1204250</v>
      </c>
      <c r="Z123" s="32">
        <f t="shared" ref="Z123:Z128" si="68">Y123*6</f>
        <v>7225500</v>
      </c>
    </row>
    <row r="124" spans="1:26" s="10" customFormat="1" ht="34.5" customHeight="1">
      <c r="A124" s="60">
        <v>2</v>
      </c>
      <c r="B124" s="76" t="s">
        <v>714</v>
      </c>
      <c r="C124" s="30"/>
      <c r="D124" s="30"/>
      <c r="E124" s="37">
        <f t="shared" si="61"/>
        <v>10.232000000000001</v>
      </c>
      <c r="F124" s="358">
        <v>5.08</v>
      </c>
      <c r="G124" s="353">
        <f t="shared" si="62"/>
        <v>3.8739999999999997</v>
      </c>
      <c r="H124" s="39"/>
      <c r="I124" s="358">
        <v>0.6</v>
      </c>
      <c r="J124" s="41"/>
      <c r="K124" s="41"/>
      <c r="L124" s="41"/>
      <c r="M124" s="39"/>
      <c r="N124" s="43">
        <f t="shared" si="63"/>
        <v>0.15</v>
      </c>
      <c r="O124" s="41"/>
      <c r="P124" s="41"/>
      <c r="Q124" s="41"/>
      <c r="R124" s="41"/>
      <c r="S124" s="41"/>
      <c r="T124" s="39">
        <f>(F124+I124+J124)*25/100</f>
        <v>1.42</v>
      </c>
      <c r="U124" s="39">
        <f t="shared" si="65"/>
        <v>1.7039999999999997</v>
      </c>
      <c r="V124" s="41"/>
      <c r="W124" s="41"/>
      <c r="X124" s="39">
        <f t="shared" si="66"/>
        <v>1.278</v>
      </c>
      <c r="Y124" s="32">
        <f t="shared" si="67"/>
        <v>1023200.0000000001</v>
      </c>
      <c r="Z124" s="32">
        <f t="shared" si="68"/>
        <v>6139200.0000000009</v>
      </c>
    </row>
    <row r="125" spans="1:26" s="10" customFormat="1" ht="26.25" customHeight="1">
      <c r="A125" s="60">
        <v>3</v>
      </c>
      <c r="B125" s="56" t="s">
        <v>205</v>
      </c>
      <c r="C125" s="30"/>
      <c r="D125" s="30"/>
      <c r="E125" s="37">
        <f t="shared" si="61"/>
        <v>6.6157500000000002</v>
      </c>
      <c r="F125" s="358">
        <v>3.33</v>
      </c>
      <c r="G125" s="353">
        <f t="shared" si="62"/>
        <v>2.4915000000000003</v>
      </c>
      <c r="H125" s="39"/>
      <c r="I125" s="358">
        <v>0.2</v>
      </c>
      <c r="J125" s="41"/>
      <c r="K125" s="41"/>
      <c r="L125" s="41"/>
      <c r="M125" s="41"/>
      <c r="N125" s="43">
        <f t="shared" si="63"/>
        <v>0.15</v>
      </c>
      <c r="O125" s="41"/>
      <c r="P125" s="41"/>
      <c r="Q125" s="41"/>
      <c r="R125" s="41"/>
      <c r="S125" s="41"/>
      <c r="T125" s="39">
        <f t="shared" si="64"/>
        <v>0.88249999999999995</v>
      </c>
      <c r="U125" s="39">
        <f t="shared" si="65"/>
        <v>1.0590000000000002</v>
      </c>
      <c r="V125" s="41"/>
      <c r="W125" s="39">
        <v>0.2</v>
      </c>
      <c r="X125" s="39">
        <f t="shared" si="66"/>
        <v>0.79425000000000012</v>
      </c>
      <c r="Y125" s="32">
        <f t="shared" si="67"/>
        <v>661575</v>
      </c>
      <c r="Z125" s="32">
        <f t="shared" si="68"/>
        <v>3969450</v>
      </c>
    </row>
    <row r="126" spans="1:26" s="10" customFormat="1" ht="27" customHeight="1">
      <c r="A126" s="60">
        <v>4</v>
      </c>
      <c r="B126" s="56" t="s">
        <v>206</v>
      </c>
      <c r="C126" s="30"/>
      <c r="D126" s="30"/>
      <c r="E126" s="37">
        <f t="shared" si="61"/>
        <v>4.9780000000000006</v>
      </c>
      <c r="F126" s="358">
        <v>2.72</v>
      </c>
      <c r="G126" s="353">
        <f t="shared" si="62"/>
        <v>1.6460000000000001</v>
      </c>
      <c r="H126" s="39"/>
      <c r="I126" s="39"/>
      <c r="J126" s="41"/>
      <c r="K126" s="41"/>
      <c r="L126" s="41"/>
      <c r="M126" s="41"/>
      <c r="N126" s="43">
        <f t="shared" si="63"/>
        <v>0.15</v>
      </c>
      <c r="O126" s="41"/>
      <c r="P126" s="41"/>
      <c r="Q126" s="41"/>
      <c r="R126" s="41"/>
      <c r="S126" s="41"/>
      <c r="T126" s="39">
        <f t="shared" si="64"/>
        <v>0.68</v>
      </c>
      <c r="U126" s="39">
        <f t="shared" si="65"/>
        <v>0.81600000000000006</v>
      </c>
      <c r="V126" s="41"/>
      <c r="W126" s="41"/>
      <c r="X126" s="39">
        <f t="shared" si="66"/>
        <v>0.61199999999999999</v>
      </c>
      <c r="Y126" s="32">
        <f t="shared" si="67"/>
        <v>497800.00000000006</v>
      </c>
      <c r="Z126" s="32">
        <f t="shared" si="68"/>
        <v>2986800.0000000005</v>
      </c>
    </row>
    <row r="127" spans="1:26" s="10" customFormat="1" ht="27.95" customHeight="1">
      <c r="A127" s="60">
        <v>5</v>
      </c>
      <c r="B127" s="56" t="s">
        <v>207</v>
      </c>
      <c r="C127" s="30"/>
      <c r="D127" s="30"/>
      <c r="E127" s="37">
        <f t="shared" si="61"/>
        <v>4.8892499999999997</v>
      </c>
      <c r="F127" s="358">
        <v>2.67</v>
      </c>
      <c r="G127" s="353">
        <f t="shared" si="62"/>
        <v>1.6185</v>
      </c>
      <c r="H127" s="39"/>
      <c r="I127" s="39"/>
      <c r="J127" s="41"/>
      <c r="K127" s="41"/>
      <c r="L127" s="41"/>
      <c r="M127" s="41"/>
      <c r="N127" s="43">
        <f t="shared" si="63"/>
        <v>0.15</v>
      </c>
      <c r="O127" s="41"/>
      <c r="P127" s="41"/>
      <c r="Q127" s="41"/>
      <c r="R127" s="41"/>
      <c r="S127" s="41"/>
      <c r="T127" s="39">
        <f t="shared" si="64"/>
        <v>0.66749999999999998</v>
      </c>
      <c r="U127" s="39">
        <f t="shared" si="65"/>
        <v>0.80099999999999993</v>
      </c>
      <c r="V127" s="41"/>
      <c r="W127" s="41"/>
      <c r="X127" s="39">
        <f t="shared" si="66"/>
        <v>0.60075000000000001</v>
      </c>
      <c r="Y127" s="32">
        <f t="shared" si="67"/>
        <v>488924.99999999994</v>
      </c>
      <c r="Z127" s="32">
        <f t="shared" si="68"/>
        <v>2933549.9999999995</v>
      </c>
    </row>
    <row r="128" spans="1:26" s="10" customFormat="1" ht="27.95" customHeight="1">
      <c r="A128" s="60">
        <v>6</v>
      </c>
      <c r="B128" s="56" t="s">
        <v>208</v>
      </c>
      <c r="C128" s="30"/>
      <c r="D128" s="30"/>
      <c r="E128" s="37">
        <f t="shared" si="61"/>
        <v>4.5164999999999997</v>
      </c>
      <c r="F128" s="358">
        <v>2.46</v>
      </c>
      <c r="G128" s="353">
        <f t="shared" si="62"/>
        <v>1.5030000000000001</v>
      </c>
      <c r="H128" s="39"/>
      <c r="I128" s="39"/>
      <c r="J128" s="41"/>
      <c r="K128" s="41"/>
      <c r="L128" s="41"/>
      <c r="M128" s="41"/>
      <c r="N128" s="43">
        <f t="shared" si="63"/>
        <v>0.15</v>
      </c>
      <c r="O128" s="41"/>
      <c r="P128" s="41"/>
      <c r="Q128" s="41"/>
      <c r="R128" s="41"/>
      <c r="S128" s="41"/>
      <c r="T128" s="39">
        <f t="shared" si="64"/>
        <v>0.61499999999999999</v>
      </c>
      <c r="U128" s="39">
        <f t="shared" si="65"/>
        <v>0.73799999999999999</v>
      </c>
      <c r="V128" s="41"/>
      <c r="W128" s="41"/>
      <c r="X128" s="39">
        <f t="shared" si="66"/>
        <v>0.55349999999999999</v>
      </c>
      <c r="Y128" s="32">
        <f t="shared" si="67"/>
        <v>451650</v>
      </c>
      <c r="Z128" s="32">
        <f t="shared" si="68"/>
        <v>2709900</v>
      </c>
    </row>
    <row r="129" spans="1:28" s="10" customFormat="1" ht="27.95" customHeight="1">
      <c r="A129" s="194" t="s">
        <v>4</v>
      </c>
      <c r="B129" s="59" t="s">
        <v>214</v>
      </c>
      <c r="C129" s="30">
        <v>5</v>
      </c>
      <c r="D129" s="30">
        <v>4</v>
      </c>
      <c r="E129" s="40">
        <f>SUM(E130:E133)</f>
        <v>31.2625925</v>
      </c>
      <c r="F129" s="63">
        <f t="shared" ref="F129:Y129" si="69">SUM(F130:F133)</f>
        <v>15.110000000000001</v>
      </c>
      <c r="G129" s="63">
        <f t="shared" si="69"/>
        <v>12.237299999999999</v>
      </c>
      <c r="H129" s="63">
        <f t="shared" si="69"/>
        <v>0</v>
      </c>
      <c r="I129" s="63">
        <f t="shared" si="69"/>
        <v>0.85</v>
      </c>
      <c r="J129" s="63">
        <f t="shared" si="69"/>
        <v>0</v>
      </c>
      <c r="K129" s="63">
        <f t="shared" si="69"/>
        <v>1.4412999999999998</v>
      </c>
      <c r="L129" s="63">
        <f t="shared" si="69"/>
        <v>0.56799999999999995</v>
      </c>
      <c r="M129" s="63">
        <f t="shared" si="69"/>
        <v>0</v>
      </c>
      <c r="N129" s="63">
        <f t="shared" si="69"/>
        <v>0.6</v>
      </c>
      <c r="O129" s="63">
        <f t="shared" si="69"/>
        <v>0</v>
      </c>
      <c r="P129" s="63">
        <f t="shared" si="69"/>
        <v>0</v>
      </c>
      <c r="Q129" s="63">
        <f t="shared" si="69"/>
        <v>4.7880000000000003</v>
      </c>
      <c r="R129" s="63">
        <f t="shared" si="69"/>
        <v>0</v>
      </c>
      <c r="S129" s="63">
        <f t="shared" si="69"/>
        <v>0</v>
      </c>
      <c r="T129" s="63">
        <f t="shared" si="69"/>
        <v>3.99</v>
      </c>
      <c r="U129" s="63">
        <f t="shared" si="69"/>
        <v>0</v>
      </c>
      <c r="V129" s="63">
        <f t="shared" si="69"/>
        <v>0</v>
      </c>
      <c r="W129" s="63">
        <f t="shared" si="69"/>
        <v>0</v>
      </c>
      <c r="X129" s="63">
        <f t="shared" si="69"/>
        <v>3.9152925000000001</v>
      </c>
      <c r="Y129" s="33">
        <f t="shared" si="69"/>
        <v>3126259.25</v>
      </c>
      <c r="Z129" s="33">
        <f>SUM(Z130:Z133)</f>
        <v>18757555.5</v>
      </c>
      <c r="AA129" s="195">
        <v>15.11</v>
      </c>
      <c r="AB129" s="196">
        <f t="shared" ref="AB129:AB136" si="70">AA129*1.39</f>
        <v>21.002899999999997</v>
      </c>
    </row>
    <row r="130" spans="1:28" s="10" customFormat="1" ht="27.95" customHeight="1">
      <c r="A130" s="60">
        <v>1</v>
      </c>
      <c r="B130" s="56" t="s">
        <v>210</v>
      </c>
      <c r="C130" s="30"/>
      <c r="D130" s="30"/>
      <c r="E130" s="37">
        <f>+F130+G130+X130</f>
        <v>11.518519999999999</v>
      </c>
      <c r="F130" s="358">
        <v>4.74</v>
      </c>
      <c r="G130" s="353">
        <f t="shared" si="62"/>
        <v>5.3341999999999992</v>
      </c>
      <c r="H130" s="39"/>
      <c r="I130" s="358">
        <v>0.6</v>
      </c>
      <c r="J130" s="41"/>
      <c r="K130" s="358">
        <v>1.0791999999999999</v>
      </c>
      <c r="L130" s="39">
        <v>0.56799999999999995</v>
      </c>
      <c r="M130" s="41"/>
      <c r="N130" s="43">
        <f t="shared" si="63"/>
        <v>0.15</v>
      </c>
      <c r="O130" s="41"/>
      <c r="P130" s="41"/>
      <c r="Q130" s="43">
        <f>(F130+I130+J130)*30/100</f>
        <v>1.6019999999999999</v>
      </c>
      <c r="R130" s="41"/>
      <c r="S130" s="41"/>
      <c r="T130" s="39">
        <f t="shared" si="64"/>
        <v>1.335</v>
      </c>
      <c r="U130" s="39"/>
      <c r="V130" s="41"/>
      <c r="W130" s="41"/>
      <c r="X130" s="39">
        <f>(F130+I130+J130+K130)*22.5/100</f>
        <v>1.4443199999999998</v>
      </c>
      <c r="Y130" s="32">
        <f>E130*100000</f>
        <v>1151851.9999999998</v>
      </c>
      <c r="Z130" s="32">
        <f>Y130*6</f>
        <v>6911111.9999999981</v>
      </c>
      <c r="AA130" s="195">
        <v>0.85</v>
      </c>
      <c r="AB130" s="196">
        <f t="shared" si="70"/>
        <v>1.1815</v>
      </c>
    </row>
    <row r="131" spans="1:28" s="10" customFormat="1" ht="27.95" customHeight="1">
      <c r="A131" s="60">
        <v>2</v>
      </c>
      <c r="B131" s="56" t="s">
        <v>211</v>
      </c>
      <c r="C131" s="30"/>
      <c r="D131" s="30"/>
      <c r="E131" s="37">
        <f>+F131+G131+X131</f>
        <v>9.433250000000001</v>
      </c>
      <c r="F131" s="358">
        <v>4.9800000000000004</v>
      </c>
      <c r="G131" s="353">
        <f>+SUM(H131:W131)</f>
        <v>3.2765</v>
      </c>
      <c r="H131" s="39"/>
      <c r="I131" s="358">
        <v>0.25</v>
      </c>
      <c r="J131" s="39"/>
      <c r="K131" s="358"/>
      <c r="L131" s="41"/>
      <c r="M131" s="41"/>
      <c r="N131" s="43">
        <f t="shared" si="63"/>
        <v>0.15</v>
      </c>
      <c r="O131" s="41"/>
      <c r="P131" s="41"/>
      <c r="Q131" s="43">
        <f>(F131+I131+J131)*30/100</f>
        <v>1.569</v>
      </c>
      <c r="R131" s="41"/>
      <c r="S131" s="41"/>
      <c r="T131" s="39">
        <f>(F131+I131+J131)*25/100</f>
        <v>1.3075000000000001</v>
      </c>
      <c r="U131" s="39"/>
      <c r="V131" s="41"/>
      <c r="W131" s="41"/>
      <c r="X131" s="39">
        <f>(F131+I131+J131+K131)*22.5/100</f>
        <v>1.1767500000000002</v>
      </c>
      <c r="Y131" s="32">
        <f>E131*100000</f>
        <v>943325.00000000012</v>
      </c>
      <c r="Z131" s="32">
        <f>Y131*6</f>
        <v>5659950.0000000009</v>
      </c>
      <c r="AA131" s="195">
        <f>15.96*30/100</f>
        <v>4.7880000000000003</v>
      </c>
      <c r="AB131" s="196">
        <f t="shared" si="70"/>
        <v>6.6553199999999997</v>
      </c>
    </row>
    <row r="132" spans="1:28" s="10" customFormat="1" ht="27.95" customHeight="1">
      <c r="A132" s="60">
        <v>3</v>
      </c>
      <c r="B132" s="56" t="s">
        <v>212</v>
      </c>
      <c r="C132" s="30"/>
      <c r="D132" s="30"/>
      <c r="E132" s="37">
        <f>+F132+G132+X132</f>
        <v>5.2378225000000009</v>
      </c>
      <c r="F132" s="358">
        <v>2.72</v>
      </c>
      <c r="G132" s="353">
        <f>+SUM(H132:W132)</f>
        <v>1.8581000000000003</v>
      </c>
      <c r="H132" s="39"/>
      <c r="I132" s="39"/>
      <c r="J132" s="41"/>
      <c r="K132" s="358">
        <v>0.21210000000000001</v>
      </c>
      <c r="L132" s="41"/>
      <c r="M132" s="41"/>
      <c r="N132" s="43">
        <f t="shared" si="63"/>
        <v>0.15</v>
      </c>
      <c r="O132" s="41"/>
      <c r="P132" s="41"/>
      <c r="Q132" s="43">
        <f>(F132+I132+J132)*30/100</f>
        <v>0.81600000000000006</v>
      </c>
      <c r="R132" s="41"/>
      <c r="S132" s="41"/>
      <c r="T132" s="39">
        <f>(F132+I132+J132)*25/100</f>
        <v>0.68</v>
      </c>
      <c r="U132" s="39"/>
      <c r="V132" s="41"/>
      <c r="W132" s="41"/>
      <c r="X132" s="39">
        <f>(F132+I132+J132+K132)*22.5/100</f>
        <v>0.65972249999999999</v>
      </c>
      <c r="Y132" s="32">
        <f>E132*100000</f>
        <v>523782.25000000012</v>
      </c>
      <c r="Z132" s="32">
        <f>Y132*6</f>
        <v>3142693.5000000009</v>
      </c>
      <c r="AA132" s="195">
        <f>15.96*25/100</f>
        <v>3.99</v>
      </c>
      <c r="AB132" s="196">
        <f t="shared" si="70"/>
        <v>5.5461</v>
      </c>
    </row>
    <row r="133" spans="1:28" s="10" customFormat="1" ht="27.95" customHeight="1">
      <c r="A133" s="60">
        <v>4</v>
      </c>
      <c r="B133" s="56" t="s">
        <v>213</v>
      </c>
      <c r="C133" s="30"/>
      <c r="D133" s="30"/>
      <c r="E133" s="37">
        <f>+F133+G133+X133</f>
        <v>5.0729999999999995</v>
      </c>
      <c r="F133" s="358">
        <v>2.67</v>
      </c>
      <c r="G133" s="353">
        <f>+SUM(H133:W133)</f>
        <v>1.7685</v>
      </c>
      <c r="H133" s="39"/>
      <c r="I133" s="39"/>
      <c r="J133" s="41"/>
      <c r="K133" s="39">
        <v>0.15</v>
      </c>
      <c r="L133" s="41"/>
      <c r="M133" s="41"/>
      <c r="N133" s="43">
        <f t="shared" si="63"/>
        <v>0.15</v>
      </c>
      <c r="O133" s="41"/>
      <c r="P133" s="41"/>
      <c r="Q133" s="43">
        <f>(F133+I133+J133)*30/100</f>
        <v>0.80099999999999993</v>
      </c>
      <c r="R133" s="41"/>
      <c r="S133" s="41"/>
      <c r="T133" s="39">
        <f>(F133+I133+J133)*25/100</f>
        <v>0.66749999999999998</v>
      </c>
      <c r="U133" s="39"/>
      <c r="V133" s="41"/>
      <c r="W133" s="41"/>
      <c r="X133" s="39">
        <f>(F133+I133+J133+K133)*22.5/100</f>
        <v>0.63449999999999995</v>
      </c>
      <c r="Y133" s="32">
        <f>E133*100000</f>
        <v>507299.99999999994</v>
      </c>
      <c r="Z133" s="32">
        <f>Y133*6</f>
        <v>3043799.9999999995</v>
      </c>
      <c r="AA133" s="195">
        <v>1.3385</v>
      </c>
      <c r="AB133" s="196">
        <f t="shared" si="70"/>
        <v>1.8605149999999999</v>
      </c>
    </row>
    <row r="134" spans="1:28" s="10" customFormat="1" ht="27.95" customHeight="1">
      <c r="A134" s="194" t="s">
        <v>59</v>
      </c>
      <c r="B134" s="197" t="s">
        <v>218</v>
      </c>
      <c r="C134" s="30">
        <v>4</v>
      </c>
      <c r="D134" s="30">
        <v>3</v>
      </c>
      <c r="E134" s="40">
        <f t="shared" ref="E134:Z134" si="71">SUM(E135:E137)</f>
        <v>28.317499999999995</v>
      </c>
      <c r="F134" s="63">
        <f t="shared" si="71"/>
        <v>14.9</v>
      </c>
      <c r="G134" s="63">
        <f t="shared" si="71"/>
        <v>9.8849999999999998</v>
      </c>
      <c r="H134" s="63">
        <f t="shared" si="71"/>
        <v>0</v>
      </c>
      <c r="I134" s="63">
        <f t="shared" si="71"/>
        <v>0.8</v>
      </c>
      <c r="J134" s="63">
        <f t="shared" si="71"/>
        <v>0</v>
      </c>
      <c r="K134" s="63">
        <f t="shared" si="71"/>
        <v>0</v>
      </c>
      <c r="L134" s="63">
        <f t="shared" si="71"/>
        <v>0</v>
      </c>
      <c r="M134" s="63">
        <f t="shared" si="71"/>
        <v>0</v>
      </c>
      <c r="N134" s="63">
        <f t="shared" si="71"/>
        <v>0.44999999999999996</v>
      </c>
      <c r="O134" s="63">
        <f t="shared" si="71"/>
        <v>0</v>
      </c>
      <c r="P134" s="63">
        <f t="shared" si="71"/>
        <v>0</v>
      </c>
      <c r="Q134" s="63">
        <f t="shared" si="71"/>
        <v>0</v>
      </c>
      <c r="R134" s="63">
        <f t="shared" si="71"/>
        <v>0</v>
      </c>
      <c r="S134" s="63">
        <f t="shared" si="71"/>
        <v>0</v>
      </c>
      <c r="T134" s="63">
        <f t="shared" si="71"/>
        <v>3.9250000000000003</v>
      </c>
      <c r="U134" s="63">
        <f t="shared" si="71"/>
        <v>4.7100000000000009</v>
      </c>
      <c r="V134" s="63">
        <f t="shared" si="71"/>
        <v>0</v>
      </c>
      <c r="W134" s="63">
        <f t="shared" si="71"/>
        <v>0</v>
      </c>
      <c r="X134" s="63">
        <f t="shared" si="71"/>
        <v>3.5325000000000002</v>
      </c>
      <c r="Y134" s="33">
        <f t="shared" si="71"/>
        <v>2831750</v>
      </c>
      <c r="Z134" s="33">
        <f t="shared" si="71"/>
        <v>16990500</v>
      </c>
      <c r="AA134" s="195">
        <v>0.6</v>
      </c>
      <c r="AB134" s="196">
        <f t="shared" si="70"/>
        <v>0.83399999999999996</v>
      </c>
    </row>
    <row r="135" spans="1:28" s="10" customFormat="1" ht="27.95" customHeight="1">
      <c r="A135" s="60">
        <v>1</v>
      </c>
      <c r="B135" s="72" t="s">
        <v>215</v>
      </c>
      <c r="C135" s="30"/>
      <c r="D135" s="30"/>
      <c r="E135" s="37">
        <f>+F135+G135+X135</f>
        <v>10.8355</v>
      </c>
      <c r="F135" s="43">
        <v>5.42</v>
      </c>
      <c r="G135" s="353">
        <f>+SUM(H135:W135)</f>
        <v>4.0609999999999999</v>
      </c>
      <c r="H135" s="39"/>
      <c r="I135" s="358">
        <v>0.6</v>
      </c>
      <c r="J135" s="41"/>
      <c r="K135" s="41"/>
      <c r="L135" s="41"/>
      <c r="M135" s="41"/>
      <c r="N135" s="43">
        <f>0.15</f>
        <v>0.15</v>
      </c>
      <c r="O135" s="41"/>
      <c r="P135" s="41"/>
      <c r="Q135" s="41"/>
      <c r="R135" s="41"/>
      <c r="S135" s="41"/>
      <c r="T135" s="39">
        <f>(F135+I135+J135)*25/100</f>
        <v>1.5049999999999999</v>
      </c>
      <c r="U135" s="39">
        <f>(F135+I135+J135)*30/100</f>
        <v>1.806</v>
      </c>
      <c r="V135" s="41"/>
      <c r="W135" s="41"/>
      <c r="X135" s="39">
        <f>(F135+I135+J135+K135)*22.5/100</f>
        <v>1.3544999999999998</v>
      </c>
      <c r="Y135" s="32">
        <f>E135*100000</f>
        <v>1083550</v>
      </c>
      <c r="Z135" s="32">
        <f>Y135*6</f>
        <v>6501300</v>
      </c>
      <c r="AA135" s="195">
        <v>0.53400000000000003</v>
      </c>
      <c r="AB135" s="196">
        <f t="shared" si="70"/>
        <v>0.74226000000000003</v>
      </c>
    </row>
    <row r="136" spans="1:28" s="10" customFormat="1" ht="27.95" customHeight="1">
      <c r="A136" s="60">
        <v>2</v>
      </c>
      <c r="B136" s="72" t="s">
        <v>216</v>
      </c>
      <c r="C136" s="30"/>
      <c r="D136" s="30"/>
      <c r="E136" s="37">
        <f>+F136+G136+X136</f>
        <v>8.9184999999999999</v>
      </c>
      <c r="F136" s="43">
        <v>4.74</v>
      </c>
      <c r="G136" s="353">
        <f>+SUM(H136:W136)</f>
        <v>3.0670000000000002</v>
      </c>
      <c r="H136" s="39"/>
      <c r="I136" s="358">
        <v>0.2</v>
      </c>
      <c r="J136" s="41"/>
      <c r="K136" s="41"/>
      <c r="L136" s="41"/>
      <c r="M136" s="41"/>
      <c r="N136" s="43">
        <f>0.15</f>
        <v>0.15</v>
      </c>
      <c r="O136" s="41"/>
      <c r="P136" s="41"/>
      <c r="Q136" s="41"/>
      <c r="R136" s="41"/>
      <c r="S136" s="41"/>
      <c r="T136" s="39">
        <f>(F136+I136+J136)*25/100</f>
        <v>1.2350000000000001</v>
      </c>
      <c r="U136" s="39">
        <f>(F136+I136+J136)*30/100</f>
        <v>1.4820000000000002</v>
      </c>
      <c r="V136" s="41"/>
      <c r="W136" s="41"/>
      <c r="X136" s="39">
        <f>(F136+I136+J136+K136)*22.5/100</f>
        <v>1.1115000000000002</v>
      </c>
      <c r="Y136" s="32">
        <f>E136*100000</f>
        <v>891850</v>
      </c>
      <c r="Z136" s="32">
        <f>Y136*6</f>
        <v>5351100</v>
      </c>
      <c r="AA136" s="195">
        <v>3.8919999999999999</v>
      </c>
      <c r="AB136" s="196">
        <f t="shared" si="70"/>
        <v>5.4098799999999994</v>
      </c>
    </row>
    <row r="137" spans="1:28" s="10" customFormat="1" ht="27.95" customHeight="1">
      <c r="A137" s="60">
        <v>3</v>
      </c>
      <c r="B137" s="198" t="s">
        <v>217</v>
      </c>
      <c r="C137" s="30"/>
      <c r="D137" s="30"/>
      <c r="E137" s="37">
        <f>+F137+G137+X137</f>
        <v>8.5634999999999994</v>
      </c>
      <c r="F137" s="358">
        <v>4.74</v>
      </c>
      <c r="G137" s="353">
        <f>+SUM(H137:W137)</f>
        <v>2.7570000000000001</v>
      </c>
      <c r="H137" s="39"/>
      <c r="I137" s="358"/>
      <c r="J137" s="41"/>
      <c r="K137" s="41"/>
      <c r="L137" s="41"/>
      <c r="M137" s="39"/>
      <c r="N137" s="43">
        <f>0.15</f>
        <v>0.15</v>
      </c>
      <c r="O137" s="41"/>
      <c r="P137" s="41"/>
      <c r="Q137" s="41"/>
      <c r="R137" s="41"/>
      <c r="S137" s="41"/>
      <c r="T137" s="39">
        <f>(F137+I137+J137)*25/100</f>
        <v>1.1850000000000001</v>
      </c>
      <c r="U137" s="39">
        <f>(F137+I137+J137)*30/100</f>
        <v>1.4220000000000002</v>
      </c>
      <c r="V137" s="41"/>
      <c r="W137" s="41"/>
      <c r="X137" s="39">
        <f>(F137+I137+J137+K137)*22.5/100</f>
        <v>1.0665</v>
      </c>
      <c r="Y137" s="32">
        <f>E137*100000</f>
        <v>856350</v>
      </c>
      <c r="Z137" s="32">
        <f>Y137*6</f>
        <v>5138100</v>
      </c>
      <c r="AA137" s="195">
        <f>SUM(AA129:AA136)</f>
        <v>31.102499999999999</v>
      </c>
      <c r="AB137" s="195">
        <f>SUM(AB129:AB136)</f>
        <v>43.232475000000001</v>
      </c>
    </row>
    <row r="138" spans="1:28" s="10" customFormat="1" ht="27.95" customHeight="1">
      <c r="A138" s="194" t="s">
        <v>65</v>
      </c>
      <c r="B138" s="59" t="s">
        <v>223</v>
      </c>
      <c r="C138" s="30">
        <v>4</v>
      </c>
      <c r="D138" s="30">
        <v>4</v>
      </c>
      <c r="E138" s="40">
        <f t="shared" ref="E138:Z138" si="72">SUM(E139:E142)</f>
        <v>27.648515000000003</v>
      </c>
      <c r="F138" s="63">
        <f t="shared" si="72"/>
        <v>14.09</v>
      </c>
      <c r="G138" s="63">
        <f t="shared" si="72"/>
        <v>10.12983</v>
      </c>
      <c r="H138" s="63">
        <f t="shared" si="72"/>
        <v>0</v>
      </c>
      <c r="I138" s="63">
        <f t="shared" si="72"/>
        <v>0.8</v>
      </c>
      <c r="J138" s="63">
        <f t="shared" si="72"/>
        <v>0.34860000000000008</v>
      </c>
      <c r="K138" s="63">
        <f t="shared" si="72"/>
        <v>0</v>
      </c>
      <c r="L138" s="63">
        <f t="shared" si="72"/>
        <v>0</v>
      </c>
      <c r="M138" s="63">
        <f t="shared" si="72"/>
        <v>0</v>
      </c>
      <c r="N138" s="63">
        <f t="shared" si="72"/>
        <v>0.6</v>
      </c>
      <c r="O138" s="63">
        <f t="shared" si="72"/>
        <v>0</v>
      </c>
      <c r="P138" s="63">
        <f t="shared" si="72"/>
        <v>0</v>
      </c>
      <c r="Q138" s="63">
        <f t="shared" si="72"/>
        <v>0</v>
      </c>
      <c r="R138" s="63">
        <f t="shared" si="72"/>
        <v>0</v>
      </c>
      <c r="S138" s="63">
        <f t="shared" si="72"/>
        <v>0</v>
      </c>
      <c r="T138" s="63">
        <f t="shared" si="72"/>
        <v>3.8096500000000004</v>
      </c>
      <c r="U138" s="63">
        <f t="shared" si="72"/>
        <v>4.5715800000000009</v>
      </c>
      <c r="V138" s="63">
        <f t="shared" si="72"/>
        <v>0</v>
      </c>
      <c r="W138" s="63">
        <f t="shared" si="72"/>
        <v>0</v>
      </c>
      <c r="X138" s="63">
        <f t="shared" si="72"/>
        <v>3.4286850000000002</v>
      </c>
      <c r="Y138" s="33">
        <f t="shared" si="72"/>
        <v>2764851.5</v>
      </c>
      <c r="Z138" s="33">
        <f t="shared" si="72"/>
        <v>16589109</v>
      </c>
      <c r="AA138" s="10">
        <f>AA137*1390000</f>
        <v>43232475</v>
      </c>
    </row>
    <row r="139" spans="1:28" s="10" customFormat="1" ht="27.95" customHeight="1">
      <c r="A139" s="60">
        <v>1</v>
      </c>
      <c r="B139" s="56" t="s">
        <v>219</v>
      </c>
      <c r="C139" s="30"/>
      <c r="D139" s="30"/>
      <c r="E139" s="37">
        <f>+F139+G139+X139</f>
        <v>10.673265000000001</v>
      </c>
      <c r="F139" s="358">
        <v>4.9800000000000004</v>
      </c>
      <c r="G139" s="353">
        <f>+SUM(H139:W139)</f>
        <v>4.3593299999999999</v>
      </c>
      <c r="H139" s="39"/>
      <c r="I139" s="358">
        <v>0.6</v>
      </c>
      <c r="J139" s="358">
        <f>4.98*7%</f>
        <v>0.34860000000000008</v>
      </c>
      <c r="K139" s="41"/>
      <c r="L139" s="41"/>
      <c r="M139" s="41"/>
      <c r="N139" s="43">
        <f>0.15</f>
        <v>0.15</v>
      </c>
      <c r="O139" s="41"/>
      <c r="P139" s="41"/>
      <c r="Q139" s="41"/>
      <c r="R139" s="41"/>
      <c r="S139" s="41"/>
      <c r="T139" s="39">
        <f>(F139+I139+J139)*25/100</f>
        <v>1.4821500000000001</v>
      </c>
      <c r="U139" s="39">
        <f>(F139+I139+J139)*30/100</f>
        <v>1.77858</v>
      </c>
      <c r="V139" s="41"/>
      <c r="W139" s="41"/>
      <c r="X139" s="39">
        <f>(F139+I139+J139+K139)*22.5/100</f>
        <v>1.3339350000000001</v>
      </c>
      <c r="Y139" s="32">
        <f>E139*100000</f>
        <v>1067326.5</v>
      </c>
      <c r="Z139" s="32">
        <f t="shared" ref="Z139:Z202" si="73">Y139*6</f>
        <v>6403959</v>
      </c>
      <c r="AA139" s="10">
        <f>AA137*1490000</f>
        <v>46342725</v>
      </c>
    </row>
    <row r="140" spans="1:28" s="10" customFormat="1" ht="27.95" customHeight="1">
      <c r="A140" s="60">
        <v>2</v>
      </c>
      <c r="B140" s="72" t="s">
        <v>220</v>
      </c>
      <c r="C140" s="30"/>
      <c r="D140" s="30"/>
      <c r="E140" s="37">
        <f>+F140+G140+X140</f>
        <v>7.5872500000000009</v>
      </c>
      <c r="F140" s="358">
        <v>3.99</v>
      </c>
      <c r="G140" s="353">
        <f>+SUM(H140:W140)</f>
        <v>2.6545000000000001</v>
      </c>
      <c r="H140" s="39"/>
      <c r="I140" s="358">
        <v>0.2</v>
      </c>
      <c r="J140" s="41"/>
      <c r="K140" s="41"/>
      <c r="L140" s="41"/>
      <c r="M140" s="41"/>
      <c r="N140" s="43">
        <f>0.15</f>
        <v>0.15</v>
      </c>
      <c r="O140" s="41"/>
      <c r="P140" s="41"/>
      <c r="Q140" s="41"/>
      <c r="R140" s="41"/>
      <c r="S140" s="41"/>
      <c r="T140" s="39">
        <f>(F140+I140+J140)*25/100</f>
        <v>1.0475000000000001</v>
      </c>
      <c r="U140" s="39">
        <f>(F140+I140+J140)*30/100</f>
        <v>1.2570000000000001</v>
      </c>
      <c r="V140" s="41"/>
      <c r="W140" s="41"/>
      <c r="X140" s="39">
        <f>(F140+I140+J140+K140)*22.5/100</f>
        <v>0.94275000000000009</v>
      </c>
      <c r="Y140" s="32">
        <f>E140*100000</f>
        <v>758725.00000000012</v>
      </c>
      <c r="Z140" s="32">
        <f t="shared" si="73"/>
        <v>4552350.0000000009</v>
      </c>
      <c r="AA140" s="10">
        <f>AA139-AA138</f>
        <v>3110250</v>
      </c>
    </row>
    <row r="141" spans="1:28" s="10" customFormat="1" ht="27.95" customHeight="1">
      <c r="A141" s="60">
        <v>3</v>
      </c>
      <c r="B141" s="72" t="s">
        <v>221</v>
      </c>
      <c r="C141" s="30"/>
      <c r="D141" s="30"/>
      <c r="E141" s="37">
        <f>+F141+G141+X141</f>
        <v>4.8715000000000011</v>
      </c>
      <c r="F141" s="358">
        <v>2.66</v>
      </c>
      <c r="G141" s="353">
        <f>+SUM(H141:W141)</f>
        <v>1.6130000000000002</v>
      </c>
      <c r="H141" s="39"/>
      <c r="I141" s="39"/>
      <c r="J141" s="41"/>
      <c r="K141" s="41"/>
      <c r="L141" s="41"/>
      <c r="M141" s="41"/>
      <c r="N141" s="43">
        <f>0.15</f>
        <v>0.15</v>
      </c>
      <c r="O141" s="41"/>
      <c r="P141" s="41"/>
      <c r="Q141" s="41"/>
      <c r="R141" s="41"/>
      <c r="S141" s="41"/>
      <c r="T141" s="39">
        <f>(F141+I141+J141)*25/100</f>
        <v>0.66500000000000004</v>
      </c>
      <c r="U141" s="39">
        <f>(F141+I141+J141)*30/100</f>
        <v>0.79800000000000015</v>
      </c>
      <c r="V141" s="41"/>
      <c r="W141" s="41"/>
      <c r="X141" s="39">
        <f>(F141+I141+J141+K141)*22.5/100</f>
        <v>0.59850000000000003</v>
      </c>
      <c r="Y141" s="32">
        <f>E141*100000</f>
        <v>487150.00000000012</v>
      </c>
      <c r="Z141" s="32">
        <f t="shared" si="73"/>
        <v>2922900.0000000009</v>
      </c>
    </row>
    <row r="142" spans="1:28" s="10" customFormat="1" ht="27.95" customHeight="1">
      <c r="A142" s="60">
        <v>4</v>
      </c>
      <c r="B142" s="72" t="s">
        <v>222</v>
      </c>
      <c r="C142" s="30"/>
      <c r="D142" s="30"/>
      <c r="E142" s="37">
        <f>+F142+G142+X142</f>
        <v>4.5164999999999997</v>
      </c>
      <c r="F142" s="358">
        <v>2.46</v>
      </c>
      <c r="G142" s="353">
        <f>+SUM(H142:W142)</f>
        <v>1.5030000000000001</v>
      </c>
      <c r="H142" s="39"/>
      <c r="I142" s="39"/>
      <c r="J142" s="41"/>
      <c r="K142" s="41"/>
      <c r="L142" s="41"/>
      <c r="M142" s="41"/>
      <c r="N142" s="43">
        <f>0.15</f>
        <v>0.15</v>
      </c>
      <c r="O142" s="41"/>
      <c r="P142" s="41"/>
      <c r="Q142" s="41"/>
      <c r="R142" s="41"/>
      <c r="S142" s="41"/>
      <c r="T142" s="39">
        <f>(F142+I142+J142)*25/100</f>
        <v>0.61499999999999999</v>
      </c>
      <c r="U142" s="39">
        <f>(F142+I142+J142)*30/100</f>
        <v>0.73799999999999999</v>
      </c>
      <c r="V142" s="41"/>
      <c r="W142" s="41"/>
      <c r="X142" s="39">
        <f>(F142+I142+J142+K142)*22.5/100</f>
        <v>0.55349999999999999</v>
      </c>
      <c r="Y142" s="32">
        <f>E142*100000</f>
        <v>451650</v>
      </c>
      <c r="Z142" s="32">
        <f t="shared" si="73"/>
        <v>2709900</v>
      </c>
    </row>
    <row r="143" spans="1:28" s="10" customFormat="1" ht="27.95" customHeight="1">
      <c r="A143" s="65" t="s">
        <v>79</v>
      </c>
      <c r="B143" s="74" t="s">
        <v>626</v>
      </c>
      <c r="C143" s="30"/>
      <c r="D143" s="30"/>
      <c r="E143" s="40">
        <f>SUM(E144:E178)</f>
        <v>14.000000000000007</v>
      </c>
      <c r="F143" s="63">
        <f t="shared" ref="F143:Z143" si="74">SUM(F144:F178)</f>
        <v>0</v>
      </c>
      <c r="G143" s="63">
        <f t="shared" si="74"/>
        <v>14.000000000000007</v>
      </c>
      <c r="H143" s="63">
        <f t="shared" si="74"/>
        <v>0</v>
      </c>
      <c r="I143" s="63">
        <f t="shared" si="74"/>
        <v>0</v>
      </c>
      <c r="J143" s="63">
        <f t="shared" si="74"/>
        <v>0</v>
      </c>
      <c r="K143" s="63">
        <f t="shared" si="74"/>
        <v>0</v>
      </c>
      <c r="L143" s="63">
        <f t="shared" si="74"/>
        <v>0</v>
      </c>
      <c r="M143" s="63">
        <f t="shared" si="74"/>
        <v>0</v>
      </c>
      <c r="N143" s="63">
        <f t="shared" si="74"/>
        <v>14.000000000000007</v>
      </c>
      <c r="O143" s="63">
        <f t="shared" si="74"/>
        <v>0</v>
      </c>
      <c r="P143" s="63">
        <f t="shared" si="74"/>
        <v>0</v>
      </c>
      <c r="Q143" s="63">
        <f t="shared" si="74"/>
        <v>0</v>
      </c>
      <c r="R143" s="63">
        <f t="shared" si="74"/>
        <v>0</v>
      </c>
      <c r="S143" s="63">
        <f t="shared" si="74"/>
        <v>0</v>
      </c>
      <c r="T143" s="63">
        <f t="shared" si="74"/>
        <v>0</v>
      </c>
      <c r="U143" s="63">
        <f t="shared" si="74"/>
        <v>0</v>
      </c>
      <c r="V143" s="63">
        <f t="shared" si="74"/>
        <v>0</v>
      </c>
      <c r="W143" s="63">
        <f t="shared" si="74"/>
        <v>0</v>
      </c>
      <c r="X143" s="63">
        <f t="shared" si="74"/>
        <v>0</v>
      </c>
      <c r="Y143" s="33">
        <f t="shared" si="74"/>
        <v>1400000</v>
      </c>
      <c r="Z143" s="33">
        <f t="shared" si="74"/>
        <v>8400000</v>
      </c>
    </row>
    <row r="144" spans="1:28" s="10" customFormat="1" ht="27.95" customHeight="1">
      <c r="A144" s="199">
        <v>1</v>
      </c>
      <c r="B144" s="154" t="s">
        <v>176</v>
      </c>
      <c r="C144" s="30"/>
      <c r="D144" s="30"/>
      <c r="E144" s="37">
        <f t="shared" ref="E144:E178" si="75">+F144+G144+X144</f>
        <v>0.4</v>
      </c>
      <c r="F144" s="358"/>
      <c r="G144" s="353">
        <f>+SUM(H144:W144)</f>
        <v>0.4</v>
      </c>
      <c r="H144" s="39"/>
      <c r="I144" s="39"/>
      <c r="J144" s="41"/>
      <c r="K144" s="41"/>
      <c r="L144" s="41"/>
      <c r="M144" s="41"/>
      <c r="N144" s="355">
        <v>0.4</v>
      </c>
      <c r="O144" s="41"/>
      <c r="P144" s="41"/>
      <c r="Q144" s="41"/>
      <c r="R144" s="41"/>
      <c r="S144" s="41"/>
      <c r="T144" s="39">
        <f>(F144+I144+J144)*25/100</f>
        <v>0</v>
      </c>
      <c r="U144" s="39">
        <f>(F144+I144+J144)*30/100</f>
        <v>0</v>
      </c>
      <c r="V144" s="41"/>
      <c r="W144" s="41"/>
      <c r="X144" s="39">
        <f t="shared" ref="X144:X178" si="76">(F144+I144+J144+K144)*22.5/100</f>
        <v>0</v>
      </c>
      <c r="Y144" s="32">
        <f t="shared" ref="Y144:Y178" si="77">E144*100000</f>
        <v>40000</v>
      </c>
      <c r="Z144" s="32">
        <f t="shared" si="73"/>
        <v>240000</v>
      </c>
    </row>
    <row r="145" spans="1:26" s="10" customFormat="1" ht="27.95" customHeight="1">
      <c r="A145" s="199">
        <v>2</v>
      </c>
      <c r="B145" s="154" t="s">
        <v>177</v>
      </c>
      <c r="C145" s="30"/>
      <c r="D145" s="30"/>
      <c r="E145" s="37">
        <f t="shared" si="75"/>
        <v>0.4</v>
      </c>
      <c r="F145" s="358"/>
      <c r="G145" s="353">
        <f t="shared" ref="G145:G178" si="78">+SUM(H145:W145)</f>
        <v>0.4</v>
      </c>
      <c r="H145" s="39"/>
      <c r="I145" s="39"/>
      <c r="J145" s="41"/>
      <c r="K145" s="41"/>
      <c r="L145" s="41"/>
      <c r="M145" s="41"/>
      <c r="N145" s="355">
        <v>0.4</v>
      </c>
      <c r="O145" s="41"/>
      <c r="P145" s="41"/>
      <c r="Q145" s="41"/>
      <c r="R145" s="41"/>
      <c r="S145" s="41"/>
      <c r="T145" s="39">
        <f t="shared" ref="T145:T178" si="79">(F145+I145+J145)*25/100</f>
        <v>0</v>
      </c>
      <c r="U145" s="39">
        <f t="shared" ref="U145:U178" si="80">(F145+I145+J145)*30/100</f>
        <v>0</v>
      </c>
      <c r="V145" s="41"/>
      <c r="W145" s="41"/>
      <c r="X145" s="39">
        <f t="shared" si="76"/>
        <v>0</v>
      </c>
      <c r="Y145" s="32">
        <f t="shared" si="77"/>
        <v>40000</v>
      </c>
      <c r="Z145" s="32">
        <f t="shared" si="73"/>
        <v>240000</v>
      </c>
    </row>
    <row r="146" spans="1:26" s="10" customFormat="1" ht="27.95" customHeight="1">
      <c r="A146" s="199">
        <v>3</v>
      </c>
      <c r="B146" s="154" t="s">
        <v>178</v>
      </c>
      <c r="C146" s="30"/>
      <c r="D146" s="30"/>
      <c r="E146" s="37">
        <f t="shared" si="75"/>
        <v>0.4</v>
      </c>
      <c r="F146" s="358"/>
      <c r="G146" s="353">
        <f t="shared" si="78"/>
        <v>0.4</v>
      </c>
      <c r="H146" s="39"/>
      <c r="I146" s="39"/>
      <c r="J146" s="41"/>
      <c r="K146" s="41"/>
      <c r="L146" s="41"/>
      <c r="M146" s="41"/>
      <c r="N146" s="355">
        <v>0.4</v>
      </c>
      <c r="O146" s="41"/>
      <c r="P146" s="41"/>
      <c r="Q146" s="41"/>
      <c r="R146" s="41"/>
      <c r="S146" s="41"/>
      <c r="T146" s="39">
        <f t="shared" si="79"/>
        <v>0</v>
      </c>
      <c r="U146" s="39">
        <f t="shared" si="80"/>
        <v>0</v>
      </c>
      <c r="V146" s="41"/>
      <c r="W146" s="41"/>
      <c r="X146" s="39">
        <f t="shared" si="76"/>
        <v>0</v>
      </c>
      <c r="Y146" s="32">
        <f t="shared" si="77"/>
        <v>40000</v>
      </c>
      <c r="Z146" s="32">
        <f t="shared" si="73"/>
        <v>240000</v>
      </c>
    </row>
    <row r="147" spans="1:26" s="10" customFormat="1" ht="27.95" customHeight="1">
      <c r="A147" s="199">
        <v>4</v>
      </c>
      <c r="B147" s="173" t="s">
        <v>179</v>
      </c>
      <c r="C147" s="30"/>
      <c r="D147" s="30"/>
      <c r="E147" s="37">
        <f t="shared" si="75"/>
        <v>0.4</v>
      </c>
      <c r="F147" s="358"/>
      <c r="G147" s="353">
        <f t="shared" si="78"/>
        <v>0.4</v>
      </c>
      <c r="H147" s="39"/>
      <c r="I147" s="39"/>
      <c r="J147" s="41"/>
      <c r="K147" s="41"/>
      <c r="L147" s="41"/>
      <c r="M147" s="41"/>
      <c r="N147" s="355">
        <v>0.4</v>
      </c>
      <c r="O147" s="41"/>
      <c r="P147" s="41"/>
      <c r="Q147" s="41"/>
      <c r="R147" s="41"/>
      <c r="S147" s="41"/>
      <c r="T147" s="39">
        <f t="shared" si="79"/>
        <v>0</v>
      </c>
      <c r="U147" s="39">
        <f t="shared" si="80"/>
        <v>0</v>
      </c>
      <c r="V147" s="41"/>
      <c r="W147" s="41"/>
      <c r="X147" s="39">
        <f t="shared" si="76"/>
        <v>0</v>
      </c>
      <c r="Y147" s="32">
        <f t="shared" si="77"/>
        <v>40000</v>
      </c>
      <c r="Z147" s="32">
        <f t="shared" si="73"/>
        <v>240000</v>
      </c>
    </row>
    <row r="148" spans="1:26" s="10" customFormat="1" ht="27.95" customHeight="1">
      <c r="A148" s="199">
        <v>5</v>
      </c>
      <c r="B148" s="154" t="s">
        <v>618</v>
      </c>
      <c r="C148" s="30"/>
      <c r="D148" s="30"/>
      <c r="E148" s="37">
        <f t="shared" si="75"/>
        <v>0.4</v>
      </c>
      <c r="F148" s="358"/>
      <c r="G148" s="353">
        <f t="shared" si="78"/>
        <v>0.4</v>
      </c>
      <c r="H148" s="39"/>
      <c r="I148" s="39"/>
      <c r="J148" s="41"/>
      <c r="K148" s="41"/>
      <c r="L148" s="41"/>
      <c r="M148" s="41"/>
      <c r="N148" s="355">
        <v>0.4</v>
      </c>
      <c r="O148" s="41"/>
      <c r="P148" s="41"/>
      <c r="Q148" s="41"/>
      <c r="R148" s="41"/>
      <c r="S148" s="41"/>
      <c r="T148" s="39">
        <f t="shared" si="79"/>
        <v>0</v>
      </c>
      <c r="U148" s="39">
        <f t="shared" si="80"/>
        <v>0</v>
      </c>
      <c r="V148" s="41"/>
      <c r="W148" s="41"/>
      <c r="X148" s="39">
        <f t="shared" si="76"/>
        <v>0</v>
      </c>
      <c r="Y148" s="32">
        <f t="shared" si="77"/>
        <v>40000</v>
      </c>
      <c r="Z148" s="32">
        <f t="shared" si="73"/>
        <v>240000</v>
      </c>
    </row>
    <row r="149" spans="1:26" s="10" customFormat="1" ht="27.95" customHeight="1">
      <c r="A149" s="199">
        <v>6</v>
      </c>
      <c r="B149" s="154" t="s">
        <v>180</v>
      </c>
      <c r="C149" s="30"/>
      <c r="D149" s="30"/>
      <c r="E149" s="37">
        <f t="shared" si="75"/>
        <v>0.4</v>
      </c>
      <c r="F149" s="358"/>
      <c r="G149" s="353">
        <f t="shared" si="78"/>
        <v>0.4</v>
      </c>
      <c r="H149" s="39"/>
      <c r="I149" s="39"/>
      <c r="J149" s="41"/>
      <c r="K149" s="41"/>
      <c r="L149" s="41"/>
      <c r="M149" s="41"/>
      <c r="N149" s="355">
        <v>0.4</v>
      </c>
      <c r="O149" s="41"/>
      <c r="P149" s="41"/>
      <c r="Q149" s="41"/>
      <c r="R149" s="41"/>
      <c r="S149" s="41"/>
      <c r="T149" s="39">
        <f t="shared" si="79"/>
        <v>0</v>
      </c>
      <c r="U149" s="39">
        <f t="shared" si="80"/>
        <v>0</v>
      </c>
      <c r="V149" s="41"/>
      <c r="W149" s="41"/>
      <c r="X149" s="39">
        <f t="shared" si="76"/>
        <v>0</v>
      </c>
      <c r="Y149" s="32">
        <f t="shared" si="77"/>
        <v>40000</v>
      </c>
      <c r="Z149" s="32">
        <f t="shared" si="73"/>
        <v>240000</v>
      </c>
    </row>
    <row r="150" spans="1:26" s="10" customFormat="1" ht="27.95" customHeight="1">
      <c r="A150" s="199">
        <v>7</v>
      </c>
      <c r="B150" s="154" t="s">
        <v>204</v>
      </c>
      <c r="C150" s="30"/>
      <c r="D150" s="30"/>
      <c r="E150" s="37">
        <f t="shared" si="75"/>
        <v>0.4</v>
      </c>
      <c r="F150" s="358"/>
      <c r="G150" s="353">
        <f t="shared" si="78"/>
        <v>0.4</v>
      </c>
      <c r="H150" s="39"/>
      <c r="I150" s="39"/>
      <c r="J150" s="41"/>
      <c r="K150" s="41"/>
      <c r="L150" s="41"/>
      <c r="M150" s="41"/>
      <c r="N150" s="355">
        <v>0.4</v>
      </c>
      <c r="O150" s="41"/>
      <c r="P150" s="41"/>
      <c r="Q150" s="41"/>
      <c r="R150" s="41"/>
      <c r="S150" s="41"/>
      <c r="T150" s="39">
        <f t="shared" si="79"/>
        <v>0</v>
      </c>
      <c r="U150" s="39">
        <f t="shared" si="80"/>
        <v>0</v>
      </c>
      <c r="V150" s="41"/>
      <c r="W150" s="41"/>
      <c r="X150" s="39">
        <f t="shared" si="76"/>
        <v>0</v>
      </c>
      <c r="Y150" s="32">
        <f t="shared" si="77"/>
        <v>40000</v>
      </c>
      <c r="Z150" s="32">
        <f t="shared" si="73"/>
        <v>240000</v>
      </c>
    </row>
    <row r="151" spans="1:26" s="10" customFormat="1" ht="27.95" customHeight="1">
      <c r="A151" s="199">
        <v>8</v>
      </c>
      <c r="B151" s="154" t="s">
        <v>215</v>
      </c>
      <c r="C151" s="30"/>
      <c r="D151" s="30"/>
      <c r="E151" s="37">
        <f t="shared" si="75"/>
        <v>0.4</v>
      </c>
      <c r="F151" s="358"/>
      <c r="G151" s="353">
        <f t="shared" si="78"/>
        <v>0.4</v>
      </c>
      <c r="H151" s="39"/>
      <c r="I151" s="39"/>
      <c r="J151" s="41"/>
      <c r="K151" s="41"/>
      <c r="L151" s="41"/>
      <c r="M151" s="41"/>
      <c r="N151" s="355">
        <v>0.4</v>
      </c>
      <c r="O151" s="41"/>
      <c r="P151" s="41"/>
      <c r="Q151" s="41"/>
      <c r="R151" s="41"/>
      <c r="S151" s="41"/>
      <c r="T151" s="39">
        <f t="shared" si="79"/>
        <v>0</v>
      </c>
      <c r="U151" s="39">
        <f t="shared" si="80"/>
        <v>0</v>
      </c>
      <c r="V151" s="41"/>
      <c r="W151" s="41"/>
      <c r="X151" s="39">
        <f t="shared" si="76"/>
        <v>0</v>
      </c>
      <c r="Y151" s="32">
        <f t="shared" si="77"/>
        <v>40000</v>
      </c>
      <c r="Z151" s="32">
        <f t="shared" si="73"/>
        <v>240000</v>
      </c>
    </row>
    <row r="152" spans="1:26" s="10" customFormat="1" ht="27.95" customHeight="1">
      <c r="A152" s="199">
        <v>9</v>
      </c>
      <c r="B152" s="154" t="s">
        <v>219</v>
      </c>
      <c r="C152" s="30"/>
      <c r="D152" s="30"/>
      <c r="E152" s="37">
        <f t="shared" si="75"/>
        <v>0.4</v>
      </c>
      <c r="F152" s="358"/>
      <c r="G152" s="353">
        <f t="shared" si="78"/>
        <v>0.4</v>
      </c>
      <c r="H152" s="39"/>
      <c r="I152" s="39"/>
      <c r="J152" s="41"/>
      <c r="K152" s="41"/>
      <c r="L152" s="41"/>
      <c r="M152" s="41"/>
      <c r="N152" s="355">
        <v>0.4</v>
      </c>
      <c r="O152" s="41"/>
      <c r="P152" s="41"/>
      <c r="Q152" s="41"/>
      <c r="R152" s="41"/>
      <c r="S152" s="41"/>
      <c r="T152" s="39">
        <f t="shared" si="79"/>
        <v>0</v>
      </c>
      <c r="U152" s="39">
        <f t="shared" si="80"/>
        <v>0</v>
      </c>
      <c r="V152" s="41"/>
      <c r="W152" s="41"/>
      <c r="X152" s="39">
        <f t="shared" si="76"/>
        <v>0</v>
      </c>
      <c r="Y152" s="32">
        <f t="shared" si="77"/>
        <v>40000</v>
      </c>
      <c r="Z152" s="32">
        <f t="shared" si="73"/>
        <v>240000</v>
      </c>
    </row>
    <row r="153" spans="1:26" s="10" customFormat="1" ht="27.95" customHeight="1">
      <c r="A153" s="199">
        <v>10</v>
      </c>
      <c r="B153" s="154" t="s">
        <v>210</v>
      </c>
      <c r="C153" s="30"/>
      <c r="D153" s="30"/>
      <c r="E153" s="37">
        <f t="shared" si="75"/>
        <v>0.4</v>
      </c>
      <c r="F153" s="358"/>
      <c r="G153" s="353">
        <f t="shared" si="78"/>
        <v>0.4</v>
      </c>
      <c r="H153" s="39"/>
      <c r="I153" s="39"/>
      <c r="J153" s="41"/>
      <c r="K153" s="41"/>
      <c r="L153" s="41"/>
      <c r="M153" s="41"/>
      <c r="N153" s="355">
        <v>0.4</v>
      </c>
      <c r="O153" s="41"/>
      <c r="P153" s="41"/>
      <c r="Q153" s="41"/>
      <c r="R153" s="41"/>
      <c r="S153" s="41"/>
      <c r="T153" s="39">
        <f t="shared" si="79"/>
        <v>0</v>
      </c>
      <c r="U153" s="39">
        <f t="shared" si="80"/>
        <v>0</v>
      </c>
      <c r="V153" s="41"/>
      <c r="W153" s="41"/>
      <c r="X153" s="39">
        <f t="shared" si="76"/>
        <v>0</v>
      </c>
      <c r="Y153" s="32">
        <f t="shared" si="77"/>
        <v>40000</v>
      </c>
      <c r="Z153" s="32">
        <f t="shared" si="73"/>
        <v>240000</v>
      </c>
    </row>
    <row r="154" spans="1:26" s="10" customFormat="1" ht="27.95" customHeight="1">
      <c r="A154" s="199">
        <v>11</v>
      </c>
      <c r="B154" s="200" t="s">
        <v>619</v>
      </c>
      <c r="C154" s="30"/>
      <c r="D154" s="30"/>
      <c r="E154" s="37">
        <f t="shared" si="75"/>
        <v>0.4</v>
      </c>
      <c r="F154" s="358"/>
      <c r="G154" s="353">
        <f t="shared" si="78"/>
        <v>0.4</v>
      </c>
      <c r="H154" s="39"/>
      <c r="I154" s="39"/>
      <c r="J154" s="41"/>
      <c r="K154" s="41"/>
      <c r="L154" s="41"/>
      <c r="M154" s="41"/>
      <c r="N154" s="355">
        <v>0.4</v>
      </c>
      <c r="O154" s="41"/>
      <c r="P154" s="41"/>
      <c r="Q154" s="41"/>
      <c r="R154" s="41"/>
      <c r="S154" s="41"/>
      <c r="T154" s="39">
        <f t="shared" si="79"/>
        <v>0</v>
      </c>
      <c r="U154" s="39">
        <f t="shared" si="80"/>
        <v>0</v>
      </c>
      <c r="V154" s="41"/>
      <c r="W154" s="41"/>
      <c r="X154" s="39">
        <f t="shared" si="76"/>
        <v>0</v>
      </c>
      <c r="Y154" s="32">
        <f t="shared" si="77"/>
        <v>40000</v>
      </c>
      <c r="Z154" s="32">
        <f t="shared" si="73"/>
        <v>240000</v>
      </c>
    </row>
    <row r="155" spans="1:26" s="10" customFormat="1" ht="27.95" customHeight="1">
      <c r="A155" s="199">
        <v>12</v>
      </c>
      <c r="B155" s="154" t="s">
        <v>620</v>
      </c>
      <c r="C155" s="30"/>
      <c r="D155" s="30"/>
      <c r="E155" s="37">
        <f t="shared" si="75"/>
        <v>0.4</v>
      </c>
      <c r="F155" s="358"/>
      <c r="G155" s="353">
        <f t="shared" si="78"/>
        <v>0.4</v>
      </c>
      <c r="H155" s="39"/>
      <c r="I155" s="39"/>
      <c r="J155" s="41"/>
      <c r="K155" s="41"/>
      <c r="L155" s="41"/>
      <c r="M155" s="41"/>
      <c r="N155" s="355">
        <v>0.4</v>
      </c>
      <c r="O155" s="41"/>
      <c r="P155" s="41"/>
      <c r="Q155" s="41"/>
      <c r="R155" s="41"/>
      <c r="S155" s="41"/>
      <c r="T155" s="39">
        <f t="shared" si="79"/>
        <v>0</v>
      </c>
      <c r="U155" s="39">
        <f t="shared" si="80"/>
        <v>0</v>
      </c>
      <c r="V155" s="41"/>
      <c r="W155" s="41"/>
      <c r="X155" s="39">
        <f t="shared" si="76"/>
        <v>0</v>
      </c>
      <c r="Y155" s="32">
        <f t="shared" si="77"/>
        <v>40000</v>
      </c>
      <c r="Z155" s="32">
        <f t="shared" si="73"/>
        <v>240000</v>
      </c>
    </row>
    <row r="156" spans="1:26" s="10" customFormat="1" ht="27.95" customHeight="1">
      <c r="A156" s="199">
        <v>13</v>
      </c>
      <c r="B156" s="154" t="s">
        <v>40</v>
      </c>
      <c r="C156" s="30"/>
      <c r="D156" s="30"/>
      <c r="E156" s="37">
        <f t="shared" si="75"/>
        <v>0.4</v>
      </c>
      <c r="F156" s="358"/>
      <c r="G156" s="353">
        <f t="shared" si="78"/>
        <v>0.4</v>
      </c>
      <c r="H156" s="39"/>
      <c r="I156" s="39"/>
      <c r="J156" s="41"/>
      <c r="K156" s="41"/>
      <c r="L156" s="41"/>
      <c r="M156" s="41"/>
      <c r="N156" s="355">
        <v>0.4</v>
      </c>
      <c r="O156" s="41"/>
      <c r="P156" s="41"/>
      <c r="Q156" s="41"/>
      <c r="R156" s="41"/>
      <c r="S156" s="41"/>
      <c r="T156" s="39">
        <f t="shared" si="79"/>
        <v>0</v>
      </c>
      <c r="U156" s="39">
        <f t="shared" si="80"/>
        <v>0</v>
      </c>
      <c r="V156" s="41"/>
      <c r="W156" s="41"/>
      <c r="X156" s="39">
        <f t="shared" si="76"/>
        <v>0</v>
      </c>
      <c r="Y156" s="32">
        <f t="shared" si="77"/>
        <v>40000</v>
      </c>
      <c r="Z156" s="32">
        <f t="shared" si="73"/>
        <v>240000</v>
      </c>
    </row>
    <row r="157" spans="1:26" s="10" customFormat="1" ht="27.95" customHeight="1">
      <c r="A157" s="199">
        <v>14</v>
      </c>
      <c r="B157" s="154" t="s">
        <v>182</v>
      </c>
      <c r="C157" s="30"/>
      <c r="D157" s="30"/>
      <c r="E157" s="37">
        <f t="shared" si="75"/>
        <v>0.4</v>
      </c>
      <c r="F157" s="358"/>
      <c r="G157" s="353">
        <f t="shared" si="78"/>
        <v>0.4</v>
      </c>
      <c r="H157" s="39"/>
      <c r="I157" s="39"/>
      <c r="J157" s="41"/>
      <c r="K157" s="41"/>
      <c r="L157" s="41"/>
      <c r="M157" s="41"/>
      <c r="N157" s="355">
        <v>0.4</v>
      </c>
      <c r="O157" s="41"/>
      <c r="P157" s="41"/>
      <c r="Q157" s="41"/>
      <c r="R157" s="41"/>
      <c r="S157" s="41"/>
      <c r="T157" s="39">
        <f t="shared" si="79"/>
        <v>0</v>
      </c>
      <c r="U157" s="39">
        <f t="shared" si="80"/>
        <v>0</v>
      </c>
      <c r="V157" s="41"/>
      <c r="W157" s="41"/>
      <c r="X157" s="39">
        <f t="shared" si="76"/>
        <v>0</v>
      </c>
      <c r="Y157" s="32">
        <f t="shared" si="77"/>
        <v>40000</v>
      </c>
      <c r="Z157" s="32">
        <f t="shared" si="73"/>
        <v>240000</v>
      </c>
    </row>
    <row r="158" spans="1:26" s="10" customFormat="1" ht="27.95" customHeight="1">
      <c r="A158" s="199">
        <v>15</v>
      </c>
      <c r="B158" s="154" t="s">
        <v>621</v>
      </c>
      <c r="C158" s="30"/>
      <c r="D158" s="30"/>
      <c r="E158" s="37">
        <f t="shared" si="75"/>
        <v>0.4</v>
      </c>
      <c r="F158" s="358"/>
      <c r="G158" s="353">
        <f t="shared" si="78"/>
        <v>0.4</v>
      </c>
      <c r="H158" s="39"/>
      <c r="I158" s="39"/>
      <c r="J158" s="41"/>
      <c r="K158" s="41"/>
      <c r="L158" s="41"/>
      <c r="M158" s="41"/>
      <c r="N158" s="355">
        <v>0.4</v>
      </c>
      <c r="O158" s="41"/>
      <c r="P158" s="41"/>
      <c r="Q158" s="41"/>
      <c r="R158" s="41"/>
      <c r="S158" s="41"/>
      <c r="T158" s="39">
        <f t="shared" si="79"/>
        <v>0</v>
      </c>
      <c r="U158" s="39">
        <f t="shared" si="80"/>
        <v>0</v>
      </c>
      <c r="V158" s="41"/>
      <c r="W158" s="41"/>
      <c r="X158" s="39">
        <f t="shared" si="76"/>
        <v>0</v>
      </c>
      <c r="Y158" s="32">
        <f t="shared" si="77"/>
        <v>40000</v>
      </c>
      <c r="Z158" s="32">
        <f t="shared" si="73"/>
        <v>240000</v>
      </c>
    </row>
    <row r="159" spans="1:26" s="10" customFormat="1" ht="27.95" customHeight="1">
      <c r="A159" s="199">
        <v>16</v>
      </c>
      <c r="B159" s="154" t="s">
        <v>211</v>
      </c>
      <c r="C159" s="30"/>
      <c r="D159" s="30"/>
      <c r="E159" s="37">
        <f t="shared" si="75"/>
        <v>0.4</v>
      </c>
      <c r="F159" s="358"/>
      <c r="G159" s="353">
        <f t="shared" si="78"/>
        <v>0.4</v>
      </c>
      <c r="H159" s="39"/>
      <c r="I159" s="39"/>
      <c r="J159" s="41"/>
      <c r="K159" s="41"/>
      <c r="L159" s="41"/>
      <c r="M159" s="41"/>
      <c r="N159" s="355">
        <v>0.4</v>
      </c>
      <c r="O159" s="41"/>
      <c r="P159" s="41"/>
      <c r="Q159" s="41"/>
      <c r="R159" s="41"/>
      <c r="S159" s="41"/>
      <c r="T159" s="39">
        <f t="shared" si="79"/>
        <v>0</v>
      </c>
      <c r="U159" s="39">
        <f t="shared" si="80"/>
        <v>0</v>
      </c>
      <c r="V159" s="41"/>
      <c r="W159" s="41"/>
      <c r="X159" s="39">
        <f t="shared" si="76"/>
        <v>0</v>
      </c>
      <c r="Y159" s="32">
        <f t="shared" si="77"/>
        <v>40000</v>
      </c>
      <c r="Z159" s="32">
        <f t="shared" si="73"/>
        <v>240000</v>
      </c>
    </row>
    <row r="160" spans="1:26" s="10" customFormat="1" ht="27.95" customHeight="1">
      <c r="A160" s="199">
        <v>17</v>
      </c>
      <c r="B160" s="201" t="s">
        <v>238</v>
      </c>
      <c r="C160" s="30"/>
      <c r="D160" s="30"/>
      <c r="E160" s="37">
        <f t="shared" si="75"/>
        <v>0.4</v>
      </c>
      <c r="F160" s="358"/>
      <c r="G160" s="353">
        <f t="shared" si="78"/>
        <v>0.4</v>
      </c>
      <c r="H160" s="39"/>
      <c r="I160" s="39"/>
      <c r="J160" s="41"/>
      <c r="K160" s="41"/>
      <c r="L160" s="41"/>
      <c r="M160" s="41"/>
      <c r="N160" s="355">
        <v>0.4</v>
      </c>
      <c r="O160" s="41"/>
      <c r="P160" s="41"/>
      <c r="Q160" s="41"/>
      <c r="R160" s="41"/>
      <c r="S160" s="41"/>
      <c r="T160" s="39">
        <f t="shared" si="79"/>
        <v>0</v>
      </c>
      <c r="U160" s="39">
        <f t="shared" si="80"/>
        <v>0</v>
      </c>
      <c r="V160" s="41"/>
      <c r="W160" s="41"/>
      <c r="X160" s="39">
        <f t="shared" si="76"/>
        <v>0</v>
      </c>
      <c r="Y160" s="32">
        <f t="shared" si="77"/>
        <v>40000</v>
      </c>
      <c r="Z160" s="32">
        <f t="shared" si="73"/>
        <v>240000</v>
      </c>
    </row>
    <row r="161" spans="1:26" s="10" customFormat="1" ht="27.95" customHeight="1">
      <c r="A161" s="199">
        <v>18</v>
      </c>
      <c r="B161" s="173" t="s">
        <v>205</v>
      </c>
      <c r="C161" s="30"/>
      <c r="D161" s="30"/>
      <c r="E161" s="37">
        <f t="shared" si="75"/>
        <v>0.4</v>
      </c>
      <c r="F161" s="358"/>
      <c r="G161" s="353">
        <f t="shared" si="78"/>
        <v>0.4</v>
      </c>
      <c r="H161" s="39"/>
      <c r="I161" s="39"/>
      <c r="J161" s="41"/>
      <c r="K161" s="41"/>
      <c r="L161" s="41"/>
      <c r="M161" s="41"/>
      <c r="N161" s="355">
        <v>0.4</v>
      </c>
      <c r="O161" s="41"/>
      <c r="P161" s="41"/>
      <c r="Q161" s="41"/>
      <c r="R161" s="41"/>
      <c r="S161" s="41"/>
      <c r="T161" s="39">
        <f t="shared" si="79"/>
        <v>0</v>
      </c>
      <c r="U161" s="39">
        <f t="shared" si="80"/>
        <v>0</v>
      </c>
      <c r="V161" s="41"/>
      <c r="W161" s="41"/>
      <c r="X161" s="39">
        <f t="shared" si="76"/>
        <v>0</v>
      </c>
      <c r="Y161" s="32">
        <f t="shared" si="77"/>
        <v>40000</v>
      </c>
      <c r="Z161" s="32">
        <f t="shared" si="73"/>
        <v>240000</v>
      </c>
    </row>
    <row r="162" spans="1:26" s="10" customFormat="1" ht="27.95" customHeight="1">
      <c r="A162" s="199">
        <v>19</v>
      </c>
      <c r="B162" s="173" t="s">
        <v>622</v>
      </c>
      <c r="C162" s="30"/>
      <c r="D162" s="30"/>
      <c r="E162" s="37">
        <f t="shared" si="75"/>
        <v>0.4</v>
      </c>
      <c r="F162" s="358"/>
      <c r="G162" s="353">
        <f t="shared" si="78"/>
        <v>0.4</v>
      </c>
      <c r="H162" s="39"/>
      <c r="I162" s="39"/>
      <c r="J162" s="41"/>
      <c r="K162" s="41"/>
      <c r="L162" s="41"/>
      <c r="M162" s="41"/>
      <c r="N162" s="355">
        <v>0.4</v>
      </c>
      <c r="O162" s="41"/>
      <c r="P162" s="41"/>
      <c r="Q162" s="41"/>
      <c r="R162" s="41"/>
      <c r="S162" s="41"/>
      <c r="T162" s="39">
        <f t="shared" si="79"/>
        <v>0</v>
      </c>
      <c r="U162" s="39">
        <f t="shared" si="80"/>
        <v>0</v>
      </c>
      <c r="V162" s="41"/>
      <c r="W162" s="41"/>
      <c r="X162" s="39">
        <f t="shared" si="76"/>
        <v>0</v>
      </c>
      <c r="Y162" s="32">
        <f t="shared" si="77"/>
        <v>40000</v>
      </c>
      <c r="Z162" s="32">
        <f t="shared" si="73"/>
        <v>240000</v>
      </c>
    </row>
    <row r="163" spans="1:26" s="10" customFormat="1" ht="27.95" customHeight="1">
      <c r="A163" s="199">
        <v>20</v>
      </c>
      <c r="B163" s="154" t="s">
        <v>233</v>
      </c>
      <c r="C163" s="30"/>
      <c r="D163" s="30"/>
      <c r="E163" s="37">
        <f t="shared" si="75"/>
        <v>0.4</v>
      </c>
      <c r="F163" s="358"/>
      <c r="G163" s="353">
        <f t="shared" si="78"/>
        <v>0.4</v>
      </c>
      <c r="H163" s="39"/>
      <c r="I163" s="39"/>
      <c r="J163" s="41"/>
      <c r="K163" s="41"/>
      <c r="L163" s="41"/>
      <c r="M163" s="41"/>
      <c r="N163" s="355">
        <v>0.4</v>
      </c>
      <c r="O163" s="41"/>
      <c r="P163" s="41"/>
      <c r="Q163" s="41"/>
      <c r="R163" s="41"/>
      <c r="S163" s="41"/>
      <c r="T163" s="39">
        <f t="shared" si="79"/>
        <v>0</v>
      </c>
      <c r="U163" s="39">
        <f t="shared" si="80"/>
        <v>0</v>
      </c>
      <c r="V163" s="41"/>
      <c r="W163" s="41"/>
      <c r="X163" s="39">
        <f t="shared" si="76"/>
        <v>0</v>
      </c>
      <c r="Y163" s="32">
        <f t="shared" si="77"/>
        <v>40000</v>
      </c>
      <c r="Z163" s="32">
        <f t="shared" si="73"/>
        <v>240000</v>
      </c>
    </row>
    <row r="164" spans="1:26" s="10" customFormat="1" ht="27.95" customHeight="1">
      <c r="A164" s="199">
        <v>21</v>
      </c>
      <c r="B164" s="154" t="s">
        <v>46</v>
      </c>
      <c r="C164" s="30"/>
      <c r="D164" s="30"/>
      <c r="E164" s="37">
        <f t="shared" si="75"/>
        <v>0.4</v>
      </c>
      <c r="F164" s="358"/>
      <c r="G164" s="353">
        <f t="shared" si="78"/>
        <v>0.4</v>
      </c>
      <c r="H164" s="39"/>
      <c r="I164" s="39"/>
      <c r="J164" s="41"/>
      <c r="K164" s="41"/>
      <c r="L164" s="41"/>
      <c r="M164" s="41"/>
      <c r="N164" s="355">
        <v>0.4</v>
      </c>
      <c r="O164" s="41"/>
      <c r="P164" s="41"/>
      <c r="Q164" s="41"/>
      <c r="R164" s="41"/>
      <c r="S164" s="41"/>
      <c r="T164" s="39">
        <f t="shared" si="79"/>
        <v>0</v>
      </c>
      <c r="U164" s="39">
        <f t="shared" si="80"/>
        <v>0</v>
      </c>
      <c r="V164" s="41"/>
      <c r="W164" s="41"/>
      <c r="X164" s="39">
        <f t="shared" si="76"/>
        <v>0</v>
      </c>
      <c r="Y164" s="32">
        <f t="shared" si="77"/>
        <v>40000</v>
      </c>
      <c r="Z164" s="32">
        <f t="shared" si="73"/>
        <v>240000</v>
      </c>
    </row>
    <row r="165" spans="1:26" s="10" customFormat="1" ht="27.95" customHeight="1">
      <c r="A165" s="199">
        <v>22</v>
      </c>
      <c r="B165" s="154" t="s">
        <v>67</v>
      </c>
      <c r="C165" s="30"/>
      <c r="D165" s="30"/>
      <c r="E165" s="37">
        <f t="shared" si="75"/>
        <v>0.4</v>
      </c>
      <c r="F165" s="358"/>
      <c r="G165" s="353">
        <f t="shared" si="78"/>
        <v>0.4</v>
      </c>
      <c r="H165" s="39"/>
      <c r="I165" s="39"/>
      <c r="J165" s="41"/>
      <c r="K165" s="41"/>
      <c r="L165" s="41"/>
      <c r="M165" s="41"/>
      <c r="N165" s="355">
        <v>0.4</v>
      </c>
      <c r="O165" s="41"/>
      <c r="P165" s="41"/>
      <c r="Q165" s="41"/>
      <c r="R165" s="41"/>
      <c r="S165" s="41"/>
      <c r="T165" s="39">
        <f t="shared" si="79"/>
        <v>0</v>
      </c>
      <c r="U165" s="39">
        <f t="shared" si="80"/>
        <v>0</v>
      </c>
      <c r="V165" s="41"/>
      <c r="W165" s="41"/>
      <c r="X165" s="39">
        <f t="shared" si="76"/>
        <v>0</v>
      </c>
      <c r="Y165" s="32">
        <f t="shared" si="77"/>
        <v>40000</v>
      </c>
      <c r="Z165" s="32">
        <f t="shared" si="73"/>
        <v>240000</v>
      </c>
    </row>
    <row r="166" spans="1:26" s="10" customFormat="1" ht="27.95" customHeight="1">
      <c r="A166" s="199">
        <v>23</v>
      </c>
      <c r="B166" s="154" t="s">
        <v>549</v>
      </c>
      <c r="C166" s="30"/>
      <c r="D166" s="30"/>
      <c r="E166" s="37">
        <f t="shared" si="75"/>
        <v>0.4</v>
      </c>
      <c r="F166" s="358"/>
      <c r="G166" s="353">
        <f t="shared" si="78"/>
        <v>0.4</v>
      </c>
      <c r="H166" s="39"/>
      <c r="I166" s="39"/>
      <c r="J166" s="41"/>
      <c r="K166" s="41"/>
      <c r="L166" s="41"/>
      <c r="M166" s="41"/>
      <c r="N166" s="355">
        <v>0.4</v>
      </c>
      <c r="O166" s="41"/>
      <c r="P166" s="41"/>
      <c r="Q166" s="41"/>
      <c r="R166" s="41"/>
      <c r="S166" s="41"/>
      <c r="T166" s="39">
        <f t="shared" si="79"/>
        <v>0</v>
      </c>
      <c r="U166" s="39">
        <f t="shared" si="80"/>
        <v>0</v>
      </c>
      <c r="V166" s="41"/>
      <c r="W166" s="41"/>
      <c r="X166" s="39">
        <f t="shared" si="76"/>
        <v>0</v>
      </c>
      <c r="Y166" s="32">
        <f t="shared" si="77"/>
        <v>40000</v>
      </c>
      <c r="Z166" s="32">
        <f t="shared" si="73"/>
        <v>240000</v>
      </c>
    </row>
    <row r="167" spans="1:26" s="10" customFormat="1" ht="27.95" customHeight="1">
      <c r="A167" s="199">
        <v>24</v>
      </c>
      <c r="B167" s="154" t="s">
        <v>52</v>
      </c>
      <c r="C167" s="30"/>
      <c r="D167" s="30"/>
      <c r="E167" s="37">
        <f t="shared" si="75"/>
        <v>0.4</v>
      </c>
      <c r="F167" s="358"/>
      <c r="G167" s="353">
        <f t="shared" si="78"/>
        <v>0.4</v>
      </c>
      <c r="H167" s="39"/>
      <c r="I167" s="39"/>
      <c r="J167" s="41"/>
      <c r="K167" s="41"/>
      <c r="L167" s="41"/>
      <c r="M167" s="41"/>
      <c r="N167" s="355">
        <v>0.4</v>
      </c>
      <c r="O167" s="41"/>
      <c r="P167" s="41"/>
      <c r="Q167" s="41"/>
      <c r="R167" s="41"/>
      <c r="S167" s="41"/>
      <c r="T167" s="39">
        <f t="shared" si="79"/>
        <v>0</v>
      </c>
      <c r="U167" s="39">
        <f t="shared" si="80"/>
        <v>0</v>
      </c>
      <c r="V167" s="41"/>
      <c r="W167" s="41"/>
      <c r="X167" s="39">
        <f t="shared" si="76"/>
        <v>0</v>
      </c>
      <c r="Y167" s="32">
        <f t="shared" si="77"/>
        <v>40000</v>
      </c>
      <c r="Z167" s="32">
        <f t="shared" si="73"/>
        <v>240000</v>
      </c>
    </row>
    <row r="168" spans="1:26" s="10" customFormat="1" ht="27.95" customHeight="1">
      <c r="A168" s="199">
        <v>25</v>
      </c>
      <c r="B168" s="154" t="s">
        <v>117</v>
      </c>
      <c r="C168" s="30"/>
      <c r="D168" s="30"/>
      <c r="E168" s="37">
        <f t="shared" si="75"/>
        <v>0.4</v>
      </c>
      <c r="F168" s="358"/>
      <c r="G168" s="353">
        <f t="shared" si="78"/>
        <v>0.4</v>
      </c>
      <c r="H168" s="39"/>
      <c r="I168" s="39"/>
      <c r="J168" s="41"/>
      <c r="K168" s="41"/>
      <c r="L168" s="41"/>
      <c r="M168" s="41"/>
      <c r="N168" s="355">
        <v>0.4</v>
      </c>
      <c r="O168" s="41"/>
      <c r="P168" s="41"/>
      <c r="Q168" s="41"/>
      <c r="R168" s="41"/>
      <c r="S168" s="41"/>
      <c r="T168" s="39">
        <f t="shared" si="79"/>
        <v>0</v>
      </c>
      <c r="U168" s="39">
        <f t="shared" si="80"/>
        <v>0</v>
      </c>
      <c r="V168" s="41"/>
      <c r="W168" s="41"/>
      <c r="X168" s="39">
        <f t="shared" si="76"/>
        <v>0</v>
      </c>
      <c r="Y168" s="32">
        <f t="shared" si="77"/>
        <v>40000</v>
      </c>
      <c r="Z168" s="32">
        <f t="shared" si="73"/>
        <v>240000</v>
      </c>
    </row>
    <row r="169" spans="1:26" s="10" customFormat="1" ht="27.95" customHeight="1">
      <c r="A169" s="199">
        <v>26</v>
      </c>
      <c r="B169" s="154" t="s">
        <v>623</v>
      </c>
      <c r="C169" s="30"/>
      <c r="D169" s="30"/>
      <c r="E169" s="37">
        <f t="shared" si="75"/>
        <v>0.4</v>
      </c>
      <c r="F169" s="358"/>
      <c r="G169" s="353">
        <f t="shared" si="78"/>
        <v>0.4</v>
      </c>
      <c r="H169" s="39"/>
      <c r="I169" s="39"/>
      <c r="J169" s="41"/>
      <c r="K169" s="41"/>
      <c r="L169" s="41"/>
      <c r="M169" s="41"/>
      <c r="N169" s="355">
        <v>0.4</v>
      </c>
      <c r="O169" s="41"/>
      <c r="P169" s="41"/>
      <c r="Q169" s="41"/>
      <c r="R169" s="41"/>
      <c r="S169" s="41"/>
      <c r="T169" s="39">
        <f t="shared" si="79"/>
        <v>0</v>
      </c>
      <c r="U169" s="39">
        <f t="shared" si="80"/>
        <v>0</v>
      </c>
      <c r="V169" s="41"/>
      <c r="W169" s="41"/>
      <c r="X169" s="39">
        <f t="shared" si="76"/>
        <v>0</v>
      </c>
      <c r="Y169" s="32">
        <f t="shared" si="77"/>
        <v>40000</v>
      </c>
      <c r="Z169" s="32">
        <f t="shared" si="73"/>
        <v>240000</v>
      </c>
    </row>
    <row r="170" spans="1:26" s="10" customFormat="1" ht="27.95" customHeight="1">
      <c r="A170" s="199">
        <v>27</v>
      </c>
      <c r="B170" s="154" t="s">
        <v>173</v>
      </c>
      <c r="C170" s="30"/>
      <c r="D170" s="30"/>
      <c r="E170" s="37">
        <f t="shared" si="75"/>
        <v>0.4</v>
      </c>
      <c r="F170" s="358"/>
      <c r="G170" s="353">
        <f t="shared" si="78"/>
        <v>0.4</v>
      </c>
      <c r="H170" s="39"/>
      <c r="I170" s="39"/>
      <c r="J170" s="41"/>
      <c r="K170" s="41"/>
      <c r="L170" s="41"/>
      <c r="M170" s="41"/>
      <c r="N170" s="355">
        <v>0.4</v>
      </c>
      <c r="O170" s="41"/>
      <c r="P170" s="41"/>
      <c r="Q170" s="41"/>
      <c r="R170" s="41"/>
      <c r="S170" s="41"/>
      <c r="T170" s="39">
        <f t="shared" si="79"/>
        <v>0</v>
      </c>
      <c r="U170" s="39">
        <f t="shared" si="80"/>
        <v>0</v>
      </c>
      <c r="V170" s="41"/>
      <c r="W170" s="41"/>
      <c r="X170" s="39">
        <f t="shared" si="76"/>
        <v>0</v>
      </c>
      <c r="Y170" s="32">
        <f t="shared" si="77"/>
        <v>40000</v>
      </c>
      <c r="Z170" s="32">
        <f t="shared" si="73"/>
        <v>240000</v>
      </c>
    </row>
    <row r="171" spans="1:26" s="10" customFormat="1" ht="27.95" customHeight="1">
      <c r="A171" s="199">
        <v>28</v>
      </c>
      <c r="B171" s="154" t="s">
        <v>229</v>
      </c>
      <c r="C171" s="30"/>
      <c r="D171" s="30"/>
      <c r="E171" s="37">
        <f t="shared" si="75"/>
        <v>0.4</v>
      </c>
      <c r="F171" s="358"/>
      <c r="G171" s="353">
        <f t="shared" si="78"/>
        <v>0.4</v>
      </c>
      <c r="H171" s="39"/>
      <c r="I171" s="39"/>
      <c r="J171" s="41"/>
      <c r="K171" s="41"/>
      <c r="L171" s="41"/>
      <c r="M171" s="41"/>
      <c r="N171" s="355">
        <v>0.4</v>
      </c>
      <c r="O171" s="41"/>
      <c r="P171" s="41"/>
      <c r="Q171" s="41"/>
      <c r="R171" s="41"/>
      <c r="S171" s="41"/>
      <c r="T171" s="39">
        <f t="shared" si="79"/>
        <v>0</v>
      </c>
      <c r="U171" s="39">
        <f t="shared" si="80"/>
        <v>0</v>
      </c>
      <c r="V171" s="41"/>
      <c r="W171" s="41"/>
      <c r="X171" s="39">
        <f t="shared" si="76"/>
        <v>0</v>
      </c>
      <c r="Y171" s="32">
        <f t="shared" si="77"/>
        <v>40000</v>
      </c>
      <c r="Z171" s="32">
        <f t="shared" si="73"/>
        <v>240000</v>
      </c>
    </row>
    <row r="172" spans="1:26" s="10" customFormat="1" ht="27.95" customHeight="1">
      <c r="A172" s="199">
        <v>29</v>
      </c>
      <c r="B172" s="154" t="s">
        <v>224</v>
      </c>
      <c r="C172" s="30"/>
      <c r="D172" s="30"/>
      <c r="E172" s="37">
        <f t="shared" si="75"/>
        <v>0.4</v>
      </c>
      <c r="F172" s="358"/>
      <c r="G172" s="353">
        <f t="shared" si="78"/>
        <v>0.4</v>
      </c>
      <c r="H172" s="39"/>
      <c r="I172" s="39"/>
      <c r="J172" s="41"/>
      <c r="K172" s="41"/>
      <c r="L172" s="41"/>
      <c r="M172" s="41"/>
      <c r="N172" s="355">
        <v>0.4</v>
      </c>
      <c r="O172" s="41"/>
      <c r="P172" s="41"/>
      <c r="Q172" s="41"/>
      <c r="R172" s="41"/>
      <c r="S172" s="41"/>
      <c r="T172" s="39">
        <f t="shared" si="79"/>
        <v>0</v>
      </c>
      <c r="U172" s="39">
        <f t="shared" si="80"/>
        <v>0</v>
      </c>
      <c r="V172" s="41"/>
      <c r="W172" s="41"/>
      <c r="X172" s="39">
        <f t="shared" si="76"/>
        <v>0</v>
      </c>
      <c r="Y172" s="32">
        <f t="shared" si="77"/>
        <v>40000</v>
      </c>
      <c r="Z172" s="32">
        <f t="shared" si="73"/>
        <v>240000</v>
      </c>
    </row>
    <row r="173" spans="1:26" s="10" customFormat="1" ht="27.95" customHeight="1">
      <c r="A173" s="199">
        <v>30</v>
      </c>
      <c r="B173" s="154" t="s">
        <v>130</v>
      </c>
      <c r="C173" s="30"/>
      <c r="D173" s="30"/>
      <c r="E173" s="37">
        <f t="shared" si="75"/>
        <v>0.4</v>
      </c>
      <c r="F173" s="358"/>
      <c r="G173" s="353">
        <f t="shared" si="78"/>
        <v>0.4</v>
      </c>
      <c r="H173" s="39"/>
      <c r="I173" s="39"/>
      <c r="J173" s="41"/>
      <c r="K173" s="41"/>
      <c r="L173" s="41"/>
      <c r="M173" s="41"/>
      <c r="N173" s="355">
        <v>0.4</v>
      </c>
      <c r="O173" s="41"/>
      <c r="P173" s="41"/>
      <c r="Q173" s="41"/>
      <c r="R173" s="41"/>
      <c r="S173" s="41"/>
      <c r="T173" s="39">
        <f t="shared" si="79"/>
        <v>0</v>
      </c>
      <c r="U173" s="39">
        <f t="shared" si="80"/>
        <v>0</v>
      </c>
      <c r="V173" s="41"/>
      <c r="W173" s="41"/>
      <c r="X173" s="39">
        <f t="shared" si="76"/>
        <v>0</v>
      </c>
      <c r="Y173" s="32">
        <f t="shared" si="77"/>
        <v>40000</v>
      </c>
      <c r="Z173" s="32">
        <f t="shared" si="73"/>
        <v>240000</v>
      </c>
    </row>
    <row r="174" spans="1:26" s="10" customFormat="1" ht="27.95" customHeight="1">
      <c r="A174" s="199">
        <v>31</v>
      </c>
      <c r="B174" s="154" t="s">
        <v>624</v>
      </c>
      <c r="C174" s="30"/>
      <c r="D174" s="30"/>
      <c r="E174" s="37">
        <f t="shared" si="75"/>
        <v>0.4</v>
      </c>
      <c r="F174" s="358"/>
      <c r="G174" s="353">
        <f t="shared" si="78"/>
        <v>0.4</v>
      </c>
      <c r="H174" s="39"/>
      <c r="I174" s="39"/>
      <c r="J174" s="41"/>
      <c r="K174" s="41"/>
      <c r="L174" s="41"/>
      <c r="M174" s="41"/>
      <c r="N174" s="355">
        <v>0.4</v>
      </c>
      <c r="O174" s="41"/>
      <c r="P174" s="41"/>
      <c r="Q174" s="41"/>
      <c r="R174" s="41"/>
      <c r="S174" s="41"/>
      <c r="T174" s="39">
        <f t="shared" si="79"/>
        <v>0</v>
      </c>
      <c r="U174" s="39">
        <f t="shared" si="80"/>
        <v>0</v>
      </c>
      <c r="V174" s="41"/>
      <c r="W174" s="41"/>
      <c r="X174" s="39">
        <f t="shared" si="76"/>
        <v>0</v>
      </c>
      <c r="Y174" s="32">
        <f t="shared" si="77"/>
        <v>40000</v>
      </c>
      <c r="Z174" s="32">
        <f t="shared" si="73"/>
        <v>240000</v>
      </c>
    </row>
    <row r="175" spans="1:26" s="10" customFormat="1" ht="27.95" customHeight="1">
      <c r="A175" s="199">
        <v>32</v>
      </c>
      <c r="B175" s="154" t="s">
        <v>250</v>
      </c>
      <c r="C175" s="30"/>
      <c r="D175" s="30"/>
      <c r="E175" s="37">
        <f t="shared" si="75"/>
        <v>0.4</v>
      </c>
      <c r="F175" s="358"/>
      <c r="G175" s="353">
        <f t="shared" si="78"/>
        <v>0.4</v>
      </c>
      <c r="H175" s="39"/>
      <c r="I175" s="39"/>
      <c r="J175" s="41"/>
      <c r="K175" s="41"/>
      <c r="L175" s="41"/>
      <c r="M175" s="41"/>
      <c r="N175" s="355">
        <v>0.4</v>
      </c>
      <c r="O175" s="41"/>
      <c r="P175" s="41"/>
      <c r="Q175" s="41"/>
      <c r="R175" s="41"/>
      <c r="S175" s="41"/>
      <c r="T175" s="39">
        <f t="shared" si="79"/>
        <v>0</v>
      </c>
      <c r="U175" s="39">
        <f t="shared" si="80"/>
        <v>0</v>
      </c>
      <c r="V175" s="41"/>
      <c r="W175" s="41"/>
      <c r="X175" s="39">
        <f t="shared" si="76"/>
        <v>0</v>
      </c>
      <c r="Y175" s="32">
        <f t="shared" si="77"/>
        <v>40000</v>
      </c>
      <c r="Z175" s="32">
        <f t="shared" si="73"/>
        <v>240000</v>
      </c>
    </row>
    <row r="176" spans="1:26" s="10" customFormat="1" ht="27.95" customHeight="1">
      <c r="A176" s="199">
        <v>33</v>
      </c>
      <c r="B176" s="154" t="s">
        <v>340</v>
      </c>
      <c r="C176" s="30"/>
      <c r="D176" s="30"/>
      <c r="E176" s="37">
        <f t="shared" si="75"/>
        <v>0.4</v>
      </c>
      <c r="F176" s="358"/>
      <c r="G176" s="353">
        <f t="shared" si="78"/>
        <v>0.4</v>
      </c>
      <c r="H176" s="39"/>
      <c r="I176" s="39"/>
      <c r="J176" s="41"/>
      <c r="K176" s="41"/>
      <c r="L176" s="41"/>
      <c r="M176" s="41"/>
      <c r="N176" s="355">
        <v>0.4</v>
      </c>
      <c r="O176" s="41"/>
      <c r="P176" s="41"/>
      <c r="Q176" s="41"/>
      <c r="R176" s="41"/>
      <c r="S176" s="41"/>
      <c r="T176" s="39">
        <f t="shared" si="79"/>
        <v>0</v>
      </c>
      <c r="U176" s="39">
        <f t="shared" si="80"/>
        <v>0</v>
      </c>
      <c r="V176" s="41"/>
      <c r="W176" s="41"/>
      <c r="X176" s="39">
        <f t="shared" si="76"/>
        <v>0</v>
      </c>
      <c r="Y176" s="32">
        <f t="shared" si="77"/>
        <v>40000</v>
      </c>
      <c r="Z176" s="32">
        <f t="shared" si="73"/>
        <v>240000</v>
      </c>
    </row>
    <row r="177" spans="1:26" s="10" customFormat="1" ht="27.95" customHeight="1">
      <c r="A177" s="199">
        <v>34</v>
      </c>
      <c r="B177" s="154" t="s">
        <v>309</v>
      </c>
      <c r="C177" s="30"/>
      <c r="D177" s="30"/>
      <c r="E177" s="37">
        <f t="shared" si="75"/>
        <v>0.4</v>
      </c>
      <c r="F177" s="358"/>
      <c r="G177" s="353">
        <f t="shared" si="78"/>
        <v>0.4</v>
      </c>
      <c r="H177" s="39"/>
      <c r="I177" s="39"/>
      <c r="J177" s="41"/>
      <c r="K177" s="41"/>
      <c r="L177" s="41"/>
      <c r="M177" s="41"/>
      <c r="N177" s="355">
        <v>0.4</v>
      </c>
      <c r="O177" s="41"/>
      <c r="P177" s="41"/>
      <c r="Q177" s="41"/>
      <c r="R177" s="41"/>
      <c r="S177" s="41"/>
      <c r="T177" s="39">
        <f t="shared" si="79"/>
        <v>0</v>
      </c>
      <c r="U177" s="39">
        <f t="shared" si="80"/>
        <v>0</v>
      </c>
      <c r="V177" s="41"/>
      <c r="W177" s="41"/>
      <c r="X177" s="39">
        <f t="shared" si="76"/>
        <v>0</v>
      </c>
      <c r="Y177" s="32">
        <f t="shared" si="77"/>
        <v>40000</v>
      </c>
      <c r="Z177" s="32">
        <f t="shared" si="73"/>
        <v>240000</v>
      </c>
    </row>
    <row r="178" spans="1:26" s="10" customFormat="1" ht="27.95" customHeight="1">
      <c r="A178" s="199">
        <v>35</v>
      </c>
      <c r="B178" s="154" t="s">
        <v>625</v>
      </c>
      <c r="C178" s="30"/>
      <c r="D178" s="30"/>
      <c r="E178" s="37">
        <f t="shared" si="75"/>
        <v>0.4</v>
      </c>
      <c r="F178" s="358"/>
      <c r="G178" s="353">
        <f t="shared" si="78"/>
        <v>0.4</v>
      </c>
      <c r="H178" s="39"/>
      <c r="I178" s="39"/>
      <c r="J178" s="41"/>
      <c r="K178" s="41"/>
      <c r="L178" s="41"/>
      <c r="M178" s="41"/>
      <c r="N178" s="355">
        <v>0.4</v>
      </c>
      <c r="O178" s="41"/>
      <c r="P178" s="41"/>
      <c r="Q178" s="41"/>
      <c r="R178" s="41"/>
      <c r="S178" s="41"/>
      <c r="T178" s="39">
        <f t="shared" si="79"/>
        <v>0</v>
      </c>
      <c r="U178" s="39">
        <f t="shared" si="80"/>
        <v>0</v>
      </c>
      <c r="V178" s="41"/>
      <c r="W178" s="41"/>
      <c r="X178" s="39">
        <f t="shared" si="76"/>
        <v>0</v>
      </c>
      <c r="Y178" s="32">
        <f t="shared" si="77"/>
        <v>40000</v>
      </c>
      <c r="Z178" s="32">
        <f t="shared" si="73"/>
        <v>240000</v>
      </c>
    </row>
    <row r="179" spans="1:26" s="10" customFormat="1" ht="27.95" customHeight="1">
      <c r="A179" s="65" t="s">
        <v>116</v>
      </c>
      <c r="B179" s="120" t="s">
        <v>635</v>
      </c>
      <c r="C179" s="30"/>
      <c r="D179" s="30"/>
      <c r="E179" s="40">
        <f>SUM(E180:E206)</f>
        <v>10.800000000000004</v>
      </c>
      <c r="F179" s="63">
        <f t="shared" ref="F179:Z179" si="81">SUM(F180:F206)</f>
        <v>0</v>
      </c>
      <c r="G179" s="63">
        <f t="shared" si="81"/>
        <v>10.800000000000004</v>
      </c>
      <c r="H179" s="63">
        <f t="shared" si="81"/>
        <v>0</v>
      </c>
      <c r="I179" s="63">
        <f t="shared" si="81"/>
        <v>0</v>
      </c>
      <c r="J179" s="63">
        <f t="shared" si="81"/>
        <v>0</v>
      </c>
      <c r="K179" s="63">
        <f t="shared" si="81"/>
        <v>0</v>
      </c>
      <c r="L179" s="63">
        <f t="shared" si="81"/>
        <v>0</v>
      </c>
      <c r="M179" s="63">
        <f t="shared" si="81"/>
        <v>0</v>
      </c>
      <c r="N179" s="63">
        <f t="shared" si="81"/>
        <v>0</v>
      </c>
      <c r="O179" s="63">
        <f t="shared" si="81"/>
        <v>10.800000000000004</v>
      </c>
      <c r="P179" s="63">
        <f t="shared" si="81"/>
        <v>0</v>
      </c>
      <c r="Q179" s="63">
        <f t="shared" si="81"/>
        <v>0</v>
      </c>
      <c r="R179" s="63">
        <f t="shared" si="81"/>
        <v>0</v>
      </c>
      <c r="S179" s="63">
        <f t="shared" si="81"/>
        <v>0</v>
      </c>
      <c r="T179" s="63">
        <f t="shared" si="81"/>
        <v>0</v>
      </c>
      <c r="U179" s="63">
        <f t="shared" si="81"/>
        <v>0</v>
      </c>
      <c r="V179" s="63">
        <f t="shared" si="81"/>
        <v>0</v>
      </c>
      <c r="W179" s="63">
        <f t="shared" si="81"/>
        <v>0</v>
      </c>
      <c r="X179" s="63">
        <f t="shared" si="81"/>
        <v>0</v>
      </c>
      <c r="Y179" s="33">
        <f t="shared" si="81"/>
        <v>1080000</v>
      </c>
      <c r="Z179" s="33">
        <f t="shared" si="81"/>
        <v>6480000</v>
      </c>
    </row>
    <row r="180" spans="1:26" s="10" customFormat="1" ht="27.95" customHeight="1">
      <c r="A180" s="118">
        <v>1</v>
      </c>
      <c r="B180" s="15" t="s">
        <v>176</v>
      </c>
      <c r="C180" s="30"/>
      <c r="D180" s="30"/>
      <c r="E180" s="37">
        <f t="shared" ref="E180:E206" si="82">+F180+G180+X180</f>
        <v>0.4</v>
      </c>
      <c r="F180" s="358"/>
      <c r="G180" s="353">
        <f>+SUM(H180:W180)</f>
        <v>0.4</v>
      </c>
      <c r="H180" s="39"/>
      <c r="I180" s="39"/>
      <c r="J180" s="41"/>
      <c r="K180" s="41"/>
      <c r="L180" s="39"/>
      <c r="M180" s="41"/>
      <c r="N180" s="355"/>
      <c r="O180" s="355">
        <v>0.4</v>
      </c>
      <c r="P180" s="41"/>
      <c r="Q180" s="41"/>
      <c r="R180" s="41"/>
      <c r="S180" s="41"/>
      <c r="T180" s="39">
        <f>(F180+I180+J180)*25/100</f>
        <v>0</v>
      </c>
      <c r="U180" s="39">
        <f>(F180+I180+J180)*30/100</f>
        <v>0</v>
      </c>
      <c r="V180" s="41"/>
      <c r="W180" s="41"/>
      <c r="X180" s="39">
        <f t="shared" ref="X180:X206" si="83">(F180+I180+J180+K180)*22.5/100</f>
        <v>0</v>
      </c>
      <c r="Y180" s="32">
        <f t="shared" ref="Y180:Y206" si="84">E180*100000</f>
        <v>40000</v>
      </c>
      <c r="Z180" s="32">
        <f t="shared" si="73"/>
        <v>240000</v>
      </c>
    </row>
    <row r="181" spans="1:26" s="10" customFormat="1" ht="27.95" customHeight="1">
      <c r="A181" s="118">
        <v>2</v>
      </c>
      <c r="B181" s="15" t="s">
        <v>178</v>
      </c>
      <c r="C181" s="30"/>
      <c r="D181" s="30"/>
      <c r="E181" s="37">
        <f t="shared" si="82"/>
        <v>0.4</v>
      </c>
      <c r="F181" s="358"/>
      <c r="G181" s="353">
        <f>+SUM(H181:W181)</f>
        <v>0.4</v>
      </c>
      <c r="H181" s="39"/>
      <c r="I181" s="39"/>
      <c r="J181" s="41"/>
      <c r="K181" s="41"/>
      <c r="L181" s="41"/>
      <c r="M181" s="41"/>
      <c r="N181" s="355"/>
      <c r="O181" s="355">
        <v>0.4</v>
      </c>
      <c r="P181" s="41"/>
      <c r="Q181" s="41"/>
      <c r="R181" s="41"/>
      <c r="S181" s="41"/>
      <c r="T181" s="39">
        <f>(F181+I181+J181)*25/100</f>
        <v>0</v>
      </c>
      <c r="U181" s="39">
        <f>(F181+I181+J181)*30/100</f>
        <v>0</v>
      </c>
      <c r="V181" s="41"/>
      <c r="W181" s="41"/>
      <c r="X181" s="39">
        <f t="shared" si="83"/>
        <v>0</v>
      </c>
      <c r="Y181" s="32">
        <f t="shared" si="84"/>
        <v>40000</v>
      </c>
      <c r="Z181" s="32">
        <f t="shared" si="73"/>
        <v>240000</v>
      </c>
    </row>
    <row r="182" spans="1:26" s="10" customFormat="1" ht="27.95" customHeight="1">
      <c r="A182" s="118">
        <v>3</v>
      </c>
      <c r="B182" s="15" t="s">
        <v>179</v>
      </c>
      <c r="C182" s="30"/>
      <c r="D182" s="30"/>
      <c r="E182" s="37">
        <f t="shared" si="82"/>
        <v>0.4</v>
      </c>
      <c r="F182" s="358"/>
      <c r="G182" s="353">
        <f t="shared" ref="G182:G206" si="85">+SUM(H182:W182)</f>
        <v>0.4</v>
      </c>
      <c r="H182" s="39"/>
      <c r="I182" s="39"/>
      <c r="J182" s="41"/>
      <c r="K182" s="41"/>
      <c r="L182" s="41"/>
      <c r="M182" s="41"/>
      <c r="N182" s="355"/>
      <c r="O182" s="355">
        <v>0.4</v>
      </c>
      <c r="P182" s="41"/>
      <c r="Q182" s="41"/>
      <c r="R182" s="41"/>
      <c r="S182" s="41"/>
      <c r="T182" s="39">
        <f t="shared" ref="T182:T206" si="86">(F182+I182+J182)*25/100</f>
        <v>0</v>
      </c>
      <c r="U182" s="39">
        <f t="shared" ref="U182:U206" si="87">(F182+I182+J182)*30/100</f>
        <v>0</v>
      </c>
      <c r="V182" s="41"/>
      <c r="W182" s="41"/>
      <c r="X182" s="39">
        <f t="shared" si="83"/>
        <v>0</v>
      </c>
      <c r="Y182" s="32">
        <f t="shared" si="84"/>
        <v>40000</v>
      </c>
      <c r="Z182" s="32">
        <f t="shared" si="73"/>
        <v>240000</v>
      </c>
    </row>
    <row r="183" spans="1:26" s="10" customFormat="1" ht="27.95" customHeight="1">
      <c r="A183" s="118">
        <v>4</v>
      </c>
      <c r="B183" s="15" t="s">
        <v>177</v>
      </c>
      <c r="C183" s="30"/>
      <c r="D183" s="30"/>
      <c r="E183" s="37">
        <f t="shared" si="82"/>
        <v>0.4</v>
      </c>
      <c r="F183" s="358"/>
      <c r="G183" s="353">
        <f t="shared" si="85"/>
        <v>0.4</v>
      </c>
      <c r="H183" s="39"/>
      <c r="I183" s="39"/>
      <c r="J183" s="41"/>
      <c r="K183" s="41"/>
      <c r="L183" s="41"/>
      <c r="M183" s="41"/>
      <c r="N183" s="355"/>
      <c r="O183" s="355">
        <v>0.4</v>
      </c>
      <c r="P183" s="41"/>
      <c r="Q183" s="41"/>
      <c r="R183" s="41"/>
      <c r="S183" s="41"/>
      <c r="T183" s="39">
        <f t="shared" si="86"/>
        <v>0</v>
      </c>
      <c r="U183" s="39">
        <f t="shared" si="87"/>
        <v>0</v>
      </c>
      <c r="V183" s="41"/>
      <c r="W183" s="41"/>
      <c r="X183" s="39">
        <f t="shared" si="83"/>
        <v>0</v>
      </c>
      <c r="Y183" s="32">
        <f t="shared" si="84"/>
        <v>40000</v>
      </c>
      <c r="Z183" s="32">
        <f t="shared" si="73"/>
        <v>240000</v>
      </c>
    </row>
    <row r="184" spans="1:26" s="10" customFormat="1" ht="27.95" customHeight="1">
      <c r="A184" s="118">
        <v>5</v>
      </c>
      <c r="B184" s="15" t="s">
        <v>181</v>
      </c>
      <c r="C184" s="30"/>
      <c r="D184" s="30"/>
      <c r="E184" s="37">
        <f t="shared" si="82"/>
        <v>0.4</v>
      </c>
      <c r="F184" s="358"/>
      <c r="G184" s="353">
        <f t="shared" si="85"/>
        <v>0.4</v>
      </c>
      <c r="H184" s="39"/>
      <c r="I184" s="39"/>
      <c r="J184" s="41"/>
      <c r="K184" s="41"/>
      <c r="L184" s="41"/>
      <c r="M184" s="41"/>
      <c r="N184" s="355"/>
      <c r="O184" s="355">
        <v>0.4</v>
      </c>
      <c r="P184" s="41"/>
      <c r="Q184" s="41"/>
      <c r="R184" s="41"/>
      <c r="S184" s="41"/>
      <c r="T184" s="39">
        <f t="shared" si="86"/>
        <v>0</v>
      </c>
      <c r="U184" s="39">
        <f t="shared" si="87"/>
        <v>0</v>
      </c>
      <c r="V184" s="41"/>
      <c r="W184" s="41"/>
      <c r="X184" s="39">
        <f t="shared" si="83"/>
        <v>0</v>
      </c>
      <c r="Y184" s="32">
        <f t="shared" si="84"/>
        <v>40000</v>
      </c>
      <c r="Z184" s="32">
        <f t="shared" si="73"/>
        <v>240000</v>
      </c>
    </row>
    <row r="185" spans="1:26" s="10" customFormat="1" ht="27.95" customHeight="1">
      <c r="A185" s="118">
        <v>6</v>
      </c>
      <c r="B185" s="15" t="s">
        <v>219</v>
      </c>
      <c r="C185" s="30"/>
      <c r="D185" s="30"/>
      <c r="E185" s="37">
        <f t="shared" si="82"/>
        <v>0.4</v>
      </c>
      <c r="F185" s="358"/>
      <c r="G185" s="353">
        <f t="shared" si="85"/>
        <v>0.4</v>
      </c>
      <c r="H185" s="39"/>
      <c r="I185" s="39"/>
      <c r="J185" s="41"/>
      <c r="K185" s="41"/>
      <c r="L185" s="41"/>
      <c r="M185" s="41"/>
      <c r="N185" s="355"/>
      <c r="O185" s="355">
        <v>0.4</v>
      </c>
      <c r="P185" s="41"/>
      <c r="Q185" s="41"/>
      <c r="R185" s="41"/>
      <c r="S185" s="41"/>
      <c r="T185" s="39">
        <f t="shared" si="86"/>
        <v>0</v>
      </c>
      <c r="U185" s="39">
        <f t="shared" si="87"/>
        <v>0</v>
      </c>
      <c r="V185" s="41"/>
      <c r="W185" s="41"/>
      <c r="X185" s="39">
        <f t="shared" si="83"/>
        <v>0</v>
      </c>
      <c r="Y185" s="32">
        <f t="shared" si="84"/>
        <v>40000</v>
      </c>
      <c r="Z185" s="32">
        <f t="shared" si="73"/>
        <v>240000</v>
      </c>
    </row>
    <row r="186" spans="1:26" s="10" customFormat="1" ht="27.95" customHeight="1">
      <c r="A186" s="118">
        <v>7</v>
      </c>
      <c r="B186" s="15" t="s">
        <v>204</v>
      </c>
      <c r="C186" s="30"/>
      <c r="D186" s="30"/>
      <c r="E186" s="37">
        <f t="shared" si="82"/>
        <v>0.4</v>
      </c>
      <c r="F186" s="358"/>
      <c r="G186" s="353">
        <f t="shared" si="85"/>
        <v>0.4</v>
      </c>
      <c r="H186" s="39"/>
      <c r="I186" s="39"/>
      <c r="J186" s="41"/>
      <c r="K186" s="41"/>
      <c r="L186" s="41"/>
      <c r="M186" s="41"/>
      <c r="N186" s="355"/>
      <c r="O186" s="355">
        <v>0.4</v>
      </c>
      <c r="P186" s="41"/>
      <c r="Q186" s="41"/>
      <c r="R186" s="41"/>
      <c r="S186" s="41"/>
      <c r="T186" s="39">
        <f t="shared" si="86"/>
        <v>0</v>
      </c>
      <c r="U186" s="39">
        <f t="shared" si="87"/>
        <v>0</v>
      </c>
      <c r="V186" s="41"/>
      <c r="W186" s="41"/>
      <c r="X186" s="39">
        <f t="shared" si="83"/>
        <v>0</v>
      </c>
      <c r="Y186" s="32">
        <f t="shared" si="84"/>
        <v>40000</v>
      </c>
      <c r="Z186" s="32">
        <f t="shared" si="73"/>
        <v>240000</v>
      </c>
    </row>
    <row r="187" spans="1:26" s="10" customFormat="1" ht="27.95" customHeight="1">
      <c r="A187" s="118">
        <v>8</v>
      </c>
      <c r="B187" s="15" t="s">
        <v>215</v>
      </c>
      <c r="C187" s="30"/>
      <c r="D187" s="30"/>
      <c r="E187" s="37">
        <f t="shared" si="82"/>
        <v>0.4</v>
      </c>
      <c r="F187" s="358"/>
      <c r="G187" s="353">
        <f t="shared" si="85"/>
        <v>0.4</v>
      </c>
      <c r="H187" s="39"/>
      <c r="I187" s="39"/>
      <c r="J187" s="41"/>
      <c r="K187" s="41"/>
      <c r="L187" s="41"/>
      <c r="M187" s="41"/>
      <c r="N187" s="355"/>
      <c r="O187" s="355">
        <v>0.4</v>
      </c>
      <c r="P187" s="41"/>
      <c r="Q187" s="41"/>
      <c r="R187" s="41"/>
      <c r="S187" s="41"/>
      <c r="T187" s="39">
        <f t="shared" si="86"/>
        <v>0</v>
      </c>
      <c r="U187" s="39">
        <f t="shared" si="87"/>
        <v>0</v>
      </c>
      <c r="V187" s="41"/>
      <c r="W187" s="41"/>
      <c r="X187" s="39">
        <f t="shared" si="83"/>
        <v>0</v>
      </c>
      <c r="Y187" s="32">
        <f t="shared" si="84"/>
        <v>40000</v>
      </c>
      <c r="Z187" s="32">
        <f t="shared" si="73"/>
        <v>240000</v>
      </c>
    </row>
    <row r="188" spans="1:26" s="10" customFormat="1" ht="27.95" customHeight="1">
      <c r="A188" s="118">
        <v>9</v>
      </c>
      <c r="B188" s="15" t="s">
        <v>225</v>
      </c>
      <c r="C188" s="30"/>
      <c r="D188" s="30"/>
      <c r="E188" s="37">
        <f t="shared" si="82"/>
        <v>0.4</v>
      </c>
      <c r="F188" s="358"/>
      <c r="G188" s="353">
        <f t="shared" si="85"/>
        <v>0.4</v>
      </c>
      <c r="H188" s="39"/>
      <c r="I188" s="39"/>
      <c r="J188" s="41"/>
      <c r="K188" s="41"/>
      <c r="L188" s="41"/>
      <c r="M188" s="41"/>
      <c r="N188" s="355"/>
      <c r="O188" s="355">
        <v>0.4</v>
      </c>
      <c r="P188" s="41"/>
      <c r="Q188" s="41"/>
      <c r="R188" s="41"/>
      <c r="S188" s="41"/>
      <c r="T188" s="39">
        <f t="shared" si="86"/>
        <v>0</v>
      </c>
      <c r="U188" s="39">
        <f t="shared" si="87"/>
        <v>0</v>
      </c>
      <c r="V188" s="41"/>
      <c r="W188" s="41"/>
      <c r="X188" s="39">
        <f t="shared" si="83"/>
        <v>0</v>
      </c>
      <c r="Y188" s="32">
        <f t="shared" si="84"/>
        <v>40000</v>
      </c>
      <c r="Z188" s="32">
        <f t="shared" si="73"/>
        <v>240000</v>
      </c>
    </row>
    <row r="189" spans="1:26" s="10" customFormat="1" ht="27.95" customHeight="1">
      <c r="A189" s="118">
        <v>10</v>
      </c>
      <c r="B189" s="15" t="s">
        <v>182</v>
      </c>
      <c r="C189" s="30"/>
      <c r="D189" s="30"/>
      <c r="E189" s="37">
        <f t="shared" si="82"/>
        <v>0.4</v>
      </c>
      <c r="F189" s="358"/>
      <c r="G189" s="353">
        <f t="shared" si="85"/>
        <v>0.4</v>
      </c>
      <c r="H189" s="39"/>
      <c r="I189" s="39"/>
      <c r="J189" s="41"/>
      <c r="K189" s="41"/>
      <c r="L189" s="41"/>
      <c r="M189" s="41"/>
      <c r="N189" s="355"/>
      <c r="O189" s="355">
        <v>0.4</v>
      </c>
      <c r="P189" s="41"/>
      <c r="Q189" s="41"/>
      <c r="R189" s="41"/>
      <c r="S189" s="41"/>
      <c r="T189" s="39">
        <f t="shared" si="86"/>
        <v>0</v>
      </c>
      <c r="U189" s="39">
        <f t="shared" si="87"/>
        <v>0</v>
      </c>
      <c r="V189" s="41"/>
      <c r="W189" s="41"/>
      <c r="X189" s="39">
        <f t="shared" si="83"/>
        <v>0</v>
      </c>
      <c r="Y189" s="32">
        <f t="shared" si="84"/>
        <v>40000</v>
      </c>
      <c r="Z189" s="32">
        <f t="shared" si="73"/>
        <v>240000</v>
      </c>
    </row>
    <row r="190" spans="1:26" s="10" customFormat="1" ht="27.95" customHeight="1">
      <c r="A190" s="118">
        <v>11</v>
      </c>
      <c r="B190" s="15" t="s">
        <v>40</v>
      </c>
      <c r="C190" s="30"/>
      <c r="D190" s="30"/>
      <c r="E190" s="37">
        <f t="shared" si="82"/>
        <v>0.4</v>
      </c>
      <c r="F190" s="358"/>
      <c r="G190" s="353">
        <f t="shared" si="85"/>
        <v>0.4</v>
      </c>
      <c r="H190" s="39"/>
      <c r="I190" s="39"/>
      <c r="J190" s="41"/>
      <c r="K190" s="41"/>
      <c r="L190" s="41"/>
      <c r="M190" s="41"/>
      <c r="N190" s="355"/>
      <c r="O190" s="355">
        <v>0.4</v>
      </c>
      <c r="P190" s="41"/>
      <c r="Q190" s="41"/>
      <c r="R190" s="41"/>
      <c r="S190" s="41"/>
      <c r="T190" s="39">
        <f t="shared" si="86"/>
        <v>0</v>
      </c>
      <c r="U190" s="39">
        <f t="shared" si="87"/>
        <v>0</v>
      </c>
      <c r="V190" s="41"/>
      <c r="W190" s="41"/>
      <c r="X190" s="39">
        <f t="shared" si="83"/>
        <v>0</v>
      </c>
      <c r="Y190" s="32">
        <f t="shared" si="84"/>
        <v>40000</v>
      </c>
      <c r="Z190" s="32">
        <f t="shared" si="73"/>
        <v>240000</v>
      </c>
    </row>
    <row r="191" spans="1:26" s="10" customFormat="1" ht="27.95" customHeight="1">
      <c r="A191" s="118">
        <v>12</v>
      </c>
      <c r="B191" s="15" t="s">
        <v>183</v>
      </c>
      <c r="C191" s="30"/>
      <c r="D191" s="30"/>
      <c r="E191" s="37">
        <f t="shared" si="82"/>
        <v>0.4</v>
      </c>
      <c r="F191" s="358"/>
      <c r="G191" s="353">
        <f t="shared" si="85"/>
        <v>0.4</v>
      </c>
      <c r="H191" s="39"/>
      <c r="I191" s="39"/>
      <c r="J191" s="41"/>
      <c r="K191" s="41"/>
      <c r="L191" s="41"/>
      <c r="M191" s="41"/>
      <c r="N191" s="355"/>
      <c r="O191" s="355">
        <v>0.4</v>
      </c>
      <c r="P191" s="41"/>
      <c r="Q191" s="41"/>
      <c r="R191" s="41"/>
      <c r="S191" s="41"/>
      <c r="T191" s="39">
        <f t="shared" si="86"/>
        <v>0</v>
      </c>
      <c r="U191" s="39">
        <f t="shared" si="87"/>
        <v>0</v>
      </c>
      <c r="V191" s="41"/>
      <c r="W191" s="41"/>
      <c r="X191" s="39">
        <f t="shared" si="83"/>
        <v>0</v>
      </c>
      <c r="Y191" s="32">
        <f t="shared" si="84"/>
        <v>40000</v>
      </c>
      <c r="Z191" s="32">
        <f t="shared" si="73"/>
        <v>240000</v>
      </c>
    </row>
    <row r="192" spans="1:26" s="10" customFormat="1" ht="27.95" customHeight="1">
      <c r="A192" s="118">
        <v>13</v>
      </c>
      <c r="B192" s="15" t="s">
        <v>185</v>
      </c>
      <c r="C192" s="30"/>
      <c r="D192" s="30"/>
      <c r="E192" s="37">
        <f t="shared" si="82"/>
        <v>0.4</v>
      </c>
      <c r="F192" s="358"/>
      <c r="G192" s="353">
        <f t="shared" si="85"/>
        <v>0.4</v>
      </c>
      <c r="H192" s="39"/>
      <c r="I192" s="39"/>
      <c r="J192" s="41"/>
      <c r="K192" s="41"/>
      <c r="L192" s="41"/>
      <c r="M192" s="41"/>
      <c r="N192" s="355"/>
      <c r="O192" s="355">
        <v>0.4</v>
      </c>
      <c r="P192" s="41"/>
      <c r="Q192" s="41"/>
      <c r="R192" s="41"/>
      <c r="S192" s="41"/>
      <c r="T192" s="39">
        <f t="shared" si="86"/>
        <v>0</v>
      </c>
      <c r="U192" s="39">
        <f t="shared" si="87"/>
        <v>0</v>
      </c>
      <c r="V192" s="41"/>
      <c r="W192" s="41"/>
      <c r="X192" s="39">
        <f t="shared" si="83"/>
        <v>0</v>
      </c>
      <c r="Y192" s="32">
        <f t="shared" si="84"/>
        <v>40000</v>
      </c>
      <c r="Z192" s="32">
        <f t="shared" si="73"/>
        <v>240000</v>
      </c>
    </row>
    <row r="193" spans="1:26" s="10" customFormat="1" ht="27.95" customHeight="1">
      <c r="A193" s="118">
        <v>14</v>
      </c>
      <c r="B193" s="15" t="s">
        <v>627</v>
      </c>
      <c r="C193" s="30"/>
      <c r="D193" s="30"/>
      <c r="E193" s="37">
        <f t="shared" si="82"/>
        <v>0.4</v>
      </c>
      <c r="F193" s="358"/>
      <c r="G193" s="353">
        <f t="shared" si="85"/>
        <v>0.4</v>
      </c>
      <c r="H193" s="39"/>
      <c r="I193" s="39"/>
      <c r="J193" s="41"/>
      <c r="K193" s="41"/>
      <c r="L193" s="41"/>
      <c r="M193" s="41"/>
      <c r="N193" s="355"/>
      <c r="O193" s="355">
        <v>0.4</v>
      </c>
      <c r="P193" s="41"/>
      <c r="Q193" s="41"/>
      <c r="R193" s="41"/>
      <c r="S193" s="41"/>
      <c r="T193" s="39">
        <f t="shared" si="86"/>
        <v>0</v>
      </c>
      <c r="U193" s="39">
        <f t="shared" si="87"/>
        <v>0</v>
      </c>
      <c r="V193" s="41"/>
      <c r="W193" s="41"/>
      <c r="X193" s="39">
        <f t="shared" si="83"/>
        <v>0</v>
      </c>
      <c r="Y193" s="32">
        <f t="shared" si="84"/>
        <v>40000</v>
      </c>
      <c r="Z193" s="32">
        <f t="shared" si="73"/>
        <v>240000</v>
      </c>
    </row>
    <row r="194" spans="1:26" s="10" customFormat="1" ht="27.95" customHeight="1">
      <c r="A194" s="118">
        <v>15</v>
      </c>
      <c r="B194" s="15" t="s">
        <v>229</v>
      </c>
      <c r="C194" s="30"/>
      <c r="D194" s="30"/>
      <c r="E194" s="37">
        <f t="shared" si="82"/>
        <v>0.4</v>
      </c>
      <c r="F194" s="358"/>
      <c r="G194" s="353">
        <f t="shared" si="85"/>
        <v>0.4</v>
      </c>
      <c r="H194" s="39"/>
      <c r="I194" s="39"/>
      <c r="J194" s="41"/>
      <c r="K194" s="41"/>
      <c r="L194" s="41"/>
      <c r="M194" s="41"/>
      <c r="N194" s="355"/>
      <c r="O194" s="355">
        <v>0.4</v>
      </c>
      <c r="P194" s="41"/>
      <c r="Q194" s="41"/>
      <c r="R194" s="41"/>
      <c r="S194" s="41"/>
      <c r="T194" s="39">
        <f t="shared" si="86"/>
        <v>0</v>
      </c>
      <c r="U194" s="39">
        <f t="shared" si="87"/>
        <v>0</v>
      </c>
      <c r="V194" s="41"/>
      <c r="W194" s="41"/>
      <c r="X194" s="39">
        <f t="shared" si="83"/>
        <v>0</v>
      </c>
      <c r="Y194" s="32">
        <f t="shared" si="84"/>
        <v>40000</v>
      </c>
      <c r="Z194" s="32">
        <f t="shared" si="73"/>
        <v>240000</v>
      </c>
    </row>
    <row r="195" spans="1:26" s="10" customFormat="1" ht="27.95" customHeight="1">
      <c r="A195" s="118">
        <v>16</v>
      </c>
      <c r="B195" s="15" t="s">
        <v>250</v>
      </c>
      <c r="C195" s="30"/>
      <c r="D195" s="30"/>
      <c r="E195" s="37">
        <f t="shared" si="82"/>
        <v>0.4</v>
      </c>
      <c r="F195" s="358"/>
      <c r="G195" s="353">
        <f t="shared" si="85"/>
        <v>0.4</v>
      </c>
      <c r="H195" s="39"/>
      <c r="I195" s="39"/>
      <c r="J195" s="41"/>
      <c r="K195" s="41"/>
      <c r="L195" s="41"/>
      <c r="M195" s="41"/>
      <c r="N195" s="355"/>
      <c r="O195" s="355">
        <v>0.4</v>
      </c>
      <c r="P195" s="41"/>
      <c r="Q195" s="41"/>
      <c r="R195" s="41"/>
      <c r="S195" s="41"/>
      <c r="T195" s="39">
        <f t="shared" si="86"/>
        <v>0</v>
      </c>
      <c r="U195" s="39">
        <f t="shared" si="87"/>
        <v>0</v>
      </c>
      <c r="V195" s="41"/>
      <c r="W195" s="41"/>
      <c r="X195" s="39">
        <f t="shared" si="83"/>
        <v>0</v>
      </c>
      <c r="Y195" s="32">
        <f t="shared" si="84"/>
        <v>40000</v>
      </c>
      <c r="Z195" s="32">
        <f t="shared" si="73"/>
        <v>240000</v>
      </c>
    </row>
    <row r="196" spans="1:26" s="10" customFormat="1" ht="27.95" customHeight="1">
      <c r="A196" s="118">
        <v>17</v>
      </c>
      <c r="B196" s="15" t="s">
        <v>507</v>
      </c>
      <c r="C196" s="30"/>
      <c r="D196" s="30"/>
      <c r="E196" s="37">
        <f t="shared" si="82"/>
        <v>0.4</v>
      </c>
      <c r="F196" s="358"/>
      <c r="G196" s="353">
        <f t="shared" si="85"/>
        <v>0.4</v>
      </c>
      <c r="H196" s="39"/>
      <c r="I196" s="39"/>
      <c r="J196" s="41"/>
      <c r="K196" s="41"/>
      <c r="L196" s="41"/>
      <c r="M196" s="41"/>
      <c r="N196" s="355"/>
      <c r="O196" s="355">
        <v>0.4</v>
      </c>
      <c r="P196" s="41"/>
      <c r="Q196" s="41"/>
      <c r="R196" s="41"/>
      <c r="S196" s="41"/>
      <c r="T196" s="39">
        <f t="shared" si="86"/>
        <v>0</v>
      </c>
      <c r="U196" s="39">
        <f t="shared" si="87"/>
        <v>0</v>
      </c>
      <c r="V196" s="41"/>
      <c r="W196" s="41"/>
      <c r="X196" s="39">
        <f t="shared" si="83"/>
        <v>0</v>
      </c>
      <c r="Y196" s="32">
        <f t="shared" si="84"/>
        <v>40000</v>
      </c>
      <c r="Z196" s="32">
        <f t="shared" si="73"/>
        <v>240000</v>
      </c>
    </row>
    <row r="197" spans="1:26" s="10" customFormat="1" ht="27.95" customHeight="1">
      <c r="A197" s="118">
        <v>18</v>
      </c>
      <c r="B197" s="15" t="s">
        <v>549</v>
      </c>
      <c r="C197" s="30"/>
      <c r="D197" s="30"/>
      <c r="E197" s="37">
        <f t="shared" si="82"/>
        <v>0.4</v>
      </c>
      <c r="F197" s="358"/>
      <c r="G197" s="353">
        <f t="shared" si="85"/>
        <v>0.4</v>
      </c>
      <c r="H197" s="39"/>
      <c r="I197" s="39"/>
      <c r="J197" s="41"/>
      <c r="K197" s="41"/>
      <c r="L197" s="41"/>
      <c r="M197" s="41"/>
      <c r="N197" s="355"/>
      <c r="O197" s="355">
        <v>0.4</v>
      </c>
      <c r="P197" s="41"/>
      <c r="Q197" s="41"/>
      <c r="R197" s="41"/>
      <c r="S197" s="41"/>
      <c r="T197" s="39">
        <f t="shared" si="86"/>
        <v>0</v>
      </c>
      <c r="U197" s="39">
        <f t="shared" si="87"/>
        <v>0</v>
      </c>
      <c r="V197" s="41"/>
      <c r="W197" s="41"/>
      <c r="X197" s="39">
        <f t="shared" si="83"/>
        <v>0</v>
      </c>
      <c r="Y197" s="32">
        <f t="shared" si="84"/>
        <v>40000</v>
      </c>
      <c r="Z197" s="32">
        <f t="shared" si="73"/>
        <v>240000</v>
      </c>
    </row>
    <row r="198" spans="1:26" s="10" customFormat="1" ht="27.95" customHeight="1">
      <c r="A198" s="118">
        <v>19</v>
      </c>
      <c r="B198" s="15" t="s">
        <v>340</v>
      </c>
      <c r="C198" s="30"/>
      <c r="D198" s="30"/>
      <c r="E198" s="37">
        <f t="shared" si="82"/>
        <v>0.4</v>
      </c>
      <c r="F198" s="358"/>
      <c r="G198" s="353">
        <f t="shared" si="85"/>
        <v>0.4</v>
      </c>
      <c r="H198" s="39"/>
      <c r="I198" s="39"/>
      <c r="J198" s="41"/>
      <c r="K198" s="41"/>
      <c r="L198" s="41"/>
      <c r="M198" s="41"/>
      <c r="N198" s="355"/>
      <c r="O198" s="355">
        <v>0.4</v>
      </c>
      <c r="P198" s="41"/>
      <c r="Q198" s="41"/>
      <c r="R198" s="41"/>
      <c r="S198" s="41"/>
      <c r="T198" s="39">
        <f t="shared" si="86"/>
        <v>0</v>
      </c>
      <c r="U198" s="39">
        <f t="shared" si="87"/>
        <v>0</v>
      </c>
      <c r="V198" s="41"/>
      <c r="W198" s="41"/>
      <c r="X198" s="39">
        <f t="shared" si="83"/>
        <v>0</v>
      </c>
      <c r="Y198" s="32">
        <f t="shared" si="84"/>
        <v>40000</v>
      </c>
      <c r="Z198" s="32">
        <f t="shared" si="73"/>
        <v>240000</v>
      </c>
    </row>
    <row r="199" spans="1:26" s="10" customFormat="1" ht="27.95" customHeight="1">
      <c r="A199" s="118">
        <v>20</v>
      </c>
      <c r="B199" s="119" t="s">
        <v>309</v>
      </c>
      <c r="C199" s="30"/>
      <c r="D199" s="30"/>
      <c r="E199" s="37">
        <f t="shared" si="82"/>
        <v>0.4</v>
      </c>
      <c r="F199" s="358"/>
      <c r="G199" s="353">
        <f t="shared" si="85"/>
        <v>0.4</v>
      </c>
      <c r="H199" s="39"/>
      <c r="I199" s="39"/>
      <c r="J199" s="41"/>
      <c r="K199" s="41"/>
      <c r="L199" s="41"/>
      <c r="M199" s="41"/>
      <c r="N199" s="355"/>
      <c r="O199" s="355">
        <v>0.4</v>
      </c>
      <c r="P199" s="41"/>
      <c r="Q199" s="41"/>
      <c r="R199" s="41"/>
      <c r="S199" s="41"/>
      <c r="T199" s="39">
        <f t="shared" si="86"/>
        <v>0</v>
      </c>
      <c r="U199" s="39">
        <f t="shared" si="87"/>
        <v>0</v>
      </c>
      <c r="V199" s="41"/>
      <c r="W199" s="41"/>
      <c r="X199" s="39">
        <f t="shared" si="83"/>
        <v>0</v>
      </c>
      <c r="Y199" s="32">
        <f t="shared" si="84"/>
        <v>40000</v>
      </c>
      <c r="Z199" s="32">
        <f t="shared" si="73"/>
        <v>240000</v>
      </c>
    </row>
    <row r="200" spans="1:26" s="10" customFormat="1" ht="27.95" customHeight="1">
      <c r="A200" s="118">
        <v>21</v>
      </c>
      <c r="B200" s="15" t="s">
        <v>628</v>
      </c>
      <c r="C200" s="30"/>
      <c r="D200" s="30"/>
      <c r="E200" s="37">
        <f t="shared" si="82"/>
        <v>0.4</v>
      </c>
      <c r="F200" s="358"/>
      <c r="G200" s="353">
        <f t="shared" si="85"/>
        <v>0.4</v>
      </c>
      <c r="H200" s="39"/>
      <c r="I200" s="39"/>
      <c r="J200" s="41"/>
      <c r="K200" s="41"/>
      <c r="L200" s="41"/>
      <c r="M200" s="41"/>
      <c r="N200" s="355"/>
      <c r="O200" s="355">
        <v>0.4</v>
      </c>
      <c r="P200" s="41"/>
      <c r="Q200" s="41"/>
      <c r="R200" s="41"/>
      <c r="S200" s="41"/>
      <c r="T200" s="39">
        <f t="shared" si="86"/>
        <v>0</v>
      </c>
      <c r="U200" s="39">
        <f t="shared" si="87"/>
        <v>0</v>
      </c>
      <c r="V200" s="41"/>
      <c r="W200" s="41"/>
      <c r="X200" s="39">
        <f t="shared" si="83"/>
        <v>0</v>
      </c>
      <c r="Y200" s="32">
        <f t="shared" si="84"/>
        <v>40000</v>
      </c>
      <c r="Z200" s="32">
        <f t="shared" si="73"/>
        <v>240000</v>
      </c>
    </row>
    <row r="201" spans="1:26" s="10" customFormat="1" ht="27.95" customHeight="1">
      <c r="A201" s="118">
        <v>22</v>
      </c>
      <c r="B201" s="15" t="s">
        <v>224</v>
      </c>
      <c r="C201" s="30"/>
      <c r="D201" s="30"/>
      <c r="E201" s="37">
        <f t="shared" si="82"/>
        <v>0.4</v>
      </c>
      <c r="F201" s="358"/>
      <c r="G201" s="353">
        <f t="shared" si="85"/>
        <v>0.4</v>
      </c>
      <c r="H201" s="39"/>
      <c r="I201" s="39"/>
      <c r="J201" s="41"/>
      <c r="K201" s="41"/>
      <c r="L201" s="41"/>
      <c r="M201" s="41"/>
      <c r="N201" s="355"/>
      <c r="O201" s="355">
        <v>0.4</v>
      </c>
      <c r="P201" s="41"/>
      <c r="Q201" s="41"/>
      <c r="R201" s="41"/>
      <c r="S201" s="41"/>
      <c r="T201" s="39">
        <f t="shared" si="86"/>
        <v>0</v>
      </c>
      <c r="U201" s="39">
        <f t="shared" si="87"/>
        <v>0</v>
      </c>
      <c r="V201" s="41"/>
      <c r="W201" s="41"/>
      <c r="X201" s="39">
        <f t="shared" si="83"/>
        <v>0</v>
      </c>
      <c r="Y201" s="32">
        <f t="shared" si="84"/>
        <v>40000</v>
      </c>
      <c r="Z201" s="32">
        <f t="shared" si="73"/>
        <v>240000</v>
      </c>
    </row>
    <row r="202" spans="1:26" s="10" customFormat="1" ht="27.95" customHeight="1">
      <c r="A202" s="118">
        <v>23</v>
      </c>
      <c r="B202" s="15" t="s">
        <v>233</v>
      </c>
      <c r="C202" s="30"/>
      <c r="D202" s="30"/>
      <c r="E202" s="37">
        <f t="shared" si="82"/>
        <v>0.4</v>
      </c>
      <c r="F202" s="358"/>
      <c r="G202" s="353">
        <f t="shared" si="85"/>
        <v>0.4</v>
      </c>
      <c r="H202" s="39"/>
      <c r="I202" s="39"/>
      <c r="J202" s="41"/>
      <c r="K202" s="41"/>
      <c r="L202" s="41"/>
      <c r="M202" s="41"/>
      <c r="N202" s="355"/>
      <c r="O202" s="355">
        <v>0.4</v>
      </c>
      <c r="P202" s="41"/>
      <c r="Q202" s="41"/>
      <c r="R202" s="41"/>
      <c r="S202" s="41"/>
      <c r="T202" s="39">
        <f t="shared" si="86"/>
        <v>0</v>
      </c>
      <c r="U202" s="39">
        <f t="shared" si="87"/>
        <v>0</v>
      </c>
      <c r="V202" s="41"/>
      <c r="W202" s="41"/>
      <c r="X202" s="39">
        <f t="shared" si="83"/>
        <v>0</v>
      </c>
      <c r="Y202" s="32">
        <f t="shared" si="84"/>
        <v>40000</v>
      </c>
      <c r="Z202" s="32">
        <f t="shared" si="73"/>
        <v>240000</v>
      </c>
    </row>
    <row r="203" spans="1:26" s="10" customFormat="1" ht="27.95" customHeight="1">
      <c r="A203" s="118">
        <v>24</v>
      </c>
      <c r="B203" s="15" t="s">
        <v>625</v>
      </c>
      <c r="C203" s="30"/>
      <c r="D203" s="30"/>
      <c r="E203" s="37">
        <f t="shared" si="82"/>
        <v>0.4</v>
      </c>
      <c r="F203" s="358"/>
      <c r="G203" s="353">
        <f t="shared" si="85"/>
        <v>0.4</v>
      </c>
      <c r="H203" s="39"/>
      <c r="I203" s="39"/>
      <c r="J203" s="41"/>
      <c r="K203" s="41"/>
      <c r="L203" s="41"/>
      <c r="M203" s="41"/>
      <c r="N203" s="355"/>
      <c r="O203" s="355">
        <v>0.4</v>
      </c>
      <c r="P203" s="41"/>
      <c r="Q203" s="41"/>
      <c r="R203" s="41"/>
      <c r="S203" s="41"/>
      <c r="T203" s="39">
        <f t="shared" si="86"/>
        <v>0</v>
      </c>
      <c r="U203" s="39">
        <f t="shared" si="87"/>
        <v>0</v>
      </c>
      <c r="V203" s="41"/>
      <c r="W203" s="41"/>
      <c r="X203" s="39">
        <f t="shared" si="83"/>
        <v>0</v>
      </c>
      <c r="Y203" s="32">
        <f t="shared" si="84"/>
        <v>40000</v>
      </c>
      <c r="Z203" s="32">
        <f>Y203*6</f>
        <v>240000</v>
      </c>
    </row>
    <row r="204" spans="1:26" s="10" customFormat="1" ht="27.95" customHeight="1">
      <c r="A204" s="118">
        <v>25</v>
      </c>
      <c r="B204" s="15" t="s">
        <v>407</v>
      </c>
      <c r="C204" s="30"/>
      <c r="D204" s="30"/>
      <c r="E204" s="37">
        <f t="shared" si="82"/>
        <v>0.4</v>
      </c>
      <c r="F204" s="358"/>
      <c r="G204" s="353">
        <f t="shared" si="85"/>
        <v>0.4</v>
      </c>
      <c r="H204" s="39"/>
      <c r="I204" s="39"/>
      <c r="J204" s="41"/>
      <c r="K204" s="41"/>
      <c r="L204" s="41"/>
      <c r="M204" s="41"/>
      <c r="N204" s="355"/>
      <c r="O204" s="355">
        <v>0.4</v>
      </c>
      <c r="P204" s="41"/>
      <c r="Q204" s="41"/>
      <c r="R204" s="41"/>
      <c r="S204" s="41"/>
      <c r="T204" s="39">
        <f t="shared" si="86"/>
        <v>0</v>
      </c>
      <c r="U204" s="39">
        <f t="shared" si="87"/>
        <v>0</v>
      </c>
      <c r="V204" s="41"/>
      <c r="W204" s="41"/>
      <c r="X204" s="39">
        <f t="shared" si="83"/>
        <v>0</v>
      </c>
      <c r="Y204" s="32">
        <f t="shared" si="84"/>
        <v>40000</v>
      </c>
      <c r="Z204" s="32">
        <f>Y204*6</f>
        <v>240000</v>
      </c>
    </row>
    <row r="205" spans="1:26" s="10" customFormat="1" ht="27.95" customHeight="1">
      <c r="A205" s="118">
        <v>26</v>
      </c>
      <c r="B205" s="15" t="s">
        <v>459</v>
      </c>
      <c r="C205" s="30"/>
      <c r="D205" s="30"/>
      <c r="E205" s="37">
        <f t="shared" si="82"/>
        <v>0.4</v>
      </c>
      <c r="F205" s="358"/>
      <c r="G205" s="353">
        <f t="shared" si="85"/>
        <v>0.4</v>
      </c>
      <c r="H205" s="39"/>
      <c r="I205" s="39"/>
      <c r="J205" s="41"/>
      <c r="K205" s="41"/>
      <c r="L205" s="41"/>
      <c r="M205" s="41"/>
      <c r="N205" s="355"/>
      <c r="O205" s="355">
        <v>0.4</v>
      </c>
      <c r="P205" s="41"/>
      <c r="Q205" s="41"/>
      <c r="R205" s="41"/>
      <c r="S205" s="41"/>
      <c r="T205" s="39">
        <f t="shared" si="86"/>
        <v>0</v>
      </c>
      <c r="U205" s="39">
        <f t="shared" si="87"/>
        <v>0</v>
      </c>
      <c r="V205" s="41"/>
      <c r="W205" s="41"/>
      <c r="X205" s="39">
        <f t="shared" si="83"/>
        <v>0</v>
      </c>
      <c r="Y205" s="32">
        <f t="shared" si="84"/>
        <v>40000</v>
      </c>
      <c r="Z205" s="32">
        <f>Y205*6</f>
        <v>240000</v>
      </c>
    </row>
    <row r="206" spans="1:26" s="10" customFormat="1" ht="27.95" customHeight="1">
      <c r="A206" s="118">
        <v>27</v>
      </c>
      <c r="B206" s="15" t="s">
        <v>629</v>
      </c>
      <c r="C206" s="30"/>
      <c r="D206" s="30"/>
      <c r="E206" s="37">
        <f t="shared" si="82"/>
        <v>0.4</v>
      </c>
      <c r="F206" s="358"/>
      <c r="G206" s="353">
        <f t="shared" si="85"/>
        <v>0.4</v>
      </c>
      <c r="H206" s="39"/>
      <c r="I206" s="39"/>
      <c r="J206" s="41"/>
      <c r="K206" s="41"/>
      <c r="L206" s="41"/>
      <c r="M206" s="41"/>
      <c r="N206" s="355"/>
      <c r="O206" s="355">
        <v>0.4</v>
      </c>
      <c r="P206" s="41"/>
      <c r="Q206" s="41"/>
      <c r="R206" s="41"/>
      <c r="S206" s="41"/>
      <c r="T206" s="39">
        <f t="shared" si="86"/>
        <v>0</v>
      </c>
      <c r="U206" s="39">
        <f t="shared" si="87"/>
        <v>0</v>
      </c>
      <c r="V206" s="41"/>
      <c r="W206" s="41"/>
      <c r="X206" s="39">
        <f t="shared" si="83"/>
        <v>0</v>
      </c>
      <c r="Y206" s="32">
        <f t="shared" si="84"/>
        <v>40000</v>
      </c>
      <c r="Z206" s="32">
        <f>Y206*6</f>
        <v>240000</v>
      </c>
    </row>
    <row r="207" spans="1:26" s="10" customFormat="1" ht="27.95" customHeight="1">
      <c r="A207" s="67" t="s">
        <v>545</v>
      </c>
      <c r="B207" s="108" t="s">
        <v>630</v>
      </c>
      <c r="C207" s="30"/>
      <c r="D207" s="30"/>
      <c r="E207" s="40">
        <f>SUM(E208:E233)</f>
        <v>5.200000000000002</v>
      </c>
      <c r="F207" s="63">
        <f t="shared" ref="F207:Z207" si="88">SUM(F208:F233)</f>
        <v>0</v>
      </c>
      <c r="G207" s="63">
        <f t="shared" si="88"/>
        <v>5.200000000000002</v>
      </c>
      <c r="H207" s="63">
        <f t="shared" si="88"/>
        <v>0</v>
      </c>
      <c r="I207" s="63">
        <f t="shared" si="88"/>
        <v>0</v>
      </c>
      <c r="J207" s="63">
        <f t="shared" si="88"/>
        <v>0</v>
      </c>
      <c r="K207" s="63">
        <f t="shared" si="88"/>
        <v>0</v>
      </c>
      <c r="L207" s="63">
        <f t="shared" si="88"/>
        <v>0</v>
      </c>
      <c r="M207" s="63">
        <f t="shared" si="88"/>
        <v>0</v>
      </c>
      <c r="N207" s="63">
        <f t="shared" si="88"/>
        <v>0</v>
      </c>
      <c r="O207" s="63">
        <f t="shared" si="88"/>
        <v>0</v>
      </c>
      <c r="P207" s="63">
        <f t="shared" si="88"/>
        <v>0</v>
      </c>
      <c r="Q207" s="63">
        <f t="shared" si="88"/>
        <v>0</v>
      </c>
      <c r="R207" s="63">
        <f t="shared" si="88"/>
        <v>0</v>
      </c>
      <c r="S207" s="63">
        <f t="shared" si="88"/>
        <v>0</v>
      </c>
      <c r="T207" s="63">
        <f t="shared" si="88"/>
        <v>0</v>
      </c>
      <c r="U207" s="63">
        <f t="shared" si="88"/>
        <v>0</v>
      </c>
      <c r="V207" s="63">
        <f t="shared" si="88"/>
        <v>0</v>
      </c>
      <c r="W207" s="63">
        <f t="shared" si="88"/>
        <v>5.200000000000002</v>
      </c>
      <c r="X207" s="63">
        <f t="shared" si="88"/>
        <v>0</v>
      </c>
      <c r="Y207" s="33">
        <f t="shared" si="88"/>
        <v>520000</v>
      </c>
      <c r="Z207" s="33">
        <f t="shared" si="88"/>
        <v>3120000</v>
      </c>
    </row>
    <row r="208" spans="1:26" s="10" customFormat="1" ht="27.95" customHeight="1">
      <c r="A208" s="199">
        <v>1</v>
      </c>
      <c r="B208" s="200" t="s">
        <v>672</v>
      </c>
      <c r="C208" s="30"/>
      <c r="D208" s="30"/>
      <c r="E208" s="37">
        <f t="shared" ref="E208:E233" si="89">+F208+G208+X208</f>
        <v>0.2</v>
      </c>
      <c r="F208" s="358"/>
      <c r="G208" s="353">
        <f>+SUM(H208:W208)</f>
        <v>0.2</v>
      </c>
      <c r="H208" s="39"/>
      <c r="I208" s="39"/>
      <c r="J208" s="41"/>
      <c r="K208" s="41"/>
      <c r="L208" s="41"/>
      <c r="M208" s="41"/>
      <c r="N208" s="355"/>
      <c r="O208" s="355"/>
      <c r="P208" s="41"/>
      <c r="Q208" s="41"/>
      <c r="R208" s="41"/>
      <c r="S208" s="41"/>
      <c r="T208" s="39">
        <f>(F208+I208+J208)*25/100</f>
        <v>0</v>
      </c>
      <c r="U208" s="39">
        <f>(F208+I208+J208)*30/100</f>
        <v>0</v>
      </c>
      <c r="V208" s="41"/>
      <c r="W208" s="39">
        <v>0.2</v>
      </c>
      <c r="X208" s="39">
        <f t="shared" ref="X208:X233" si="90">(F208+I208+J208+K208)*22.5/100</f>
        <v>0</v>
      </c>
      <c r="Y208" s="32">
        <f t="shared" ref="Y208:Y233" si="91">E208*100000</f>
        <v>20000</v>
      </c>
      <c r="Z208" s="32">
        <f t="shared" ref="Z208:Z233" si="92">Y208*6</f>
        <v>120000</v>
      </c>
    </row>
    <row r="209" spans="1:26" s="10" customFormat="1" ht="27.95" customHeight="1">
      <c r="A209" s="199">
        <v>2</v>
      </c>
      <c r="B209" s="200" t="s">
        <v>176</v>
      </c>
      <c r="C209" s="30"/>
      <c r="D209" s="30"/>
      <c r="E209" s="37">
        <f t="shared" si="89"/>
        <v>0.2</v>
      </c>
      <c r="F209" s="358"/>
      <c r="G209" s="353">
        <f t="shared" ref="G209:G233" si="93">+SUM(H209:W209)</f>
        <v>0.2</v>
      </c>
      <c r="H209" s="39"/>
      <c r="I209" s="39"/>
      <c r="J209" s="41"/>
      <c r="K209" s="41"/>
      <c r="L209" s="41"/>
      <c r="M209" s="41"/>
      <c r="N209" s="355"/>
      <c r="O209" s="355"/>
      <c r="P209" s="41"/>
      <c r="Q209" s="41"/>
      <c r="R209" s="41"/>
      <c r="S209" s="41"/>
      <c r="T209" s="39">
        <f t="shared" ref="T209:T233" si="94">(F209+I209+J209)*25/100</f>
        <v>0</v>
      </c>
      <c r="U209" s="39">
        <f t="shared" ref="U209:U233" si="95">(F209+I209+J209)*30/100</f>
        <v>0</v>
      </c>
      <c r="V209" s="41"/>
      <c r="W209" s="39">
        <v>0.2</v>
      </c>
      <c r="X209" s="39">
        <f t="shared" si="90"/>
        <v>0</v>
      </c>
      <c r="Y209" s="32">
        <f t="shared" si="91"/>
        <v>20000</v>
      </c>
      <c r="Z209" s="32">
        <f t="shared" si="92"/>
        <v>120000</v>
      </c>
    </row>
    <row r="210" spans="1:26" s="10" customFormat="1" ht="27.95" customHeight="1">
      <c r="A210" s="199">
        <v>3</v>
      </c>
      <c r="B210" s="154" t="s">
        <v>177</v>
      </c>
      <c r="C210" s="30"/>
      <c r="D210" s="30"/>
      <c r="E210" s="37">
        <f t="shared" si="89"/>
        <v>0.2</v>
      </c>
      <c r="F210" s="358"/>
      <c r="G210" s="353">
        <f t="shared" si="93"/>
        <v>0.2</v>
      </c>
      <c r="H210" s="39"/>
      <c r="I210" s="39"/>
      <c r="J210" s="41"/>
      <c r="K210" s="41"/>
      <c r="L210" s="41"/>
      <c r="M210" s="41"/>
      <c r="N210" s="355"/>
      <c r="O210" s="355"/>
      <c r="P210" s="41"/>
      <c r="Q210" s="41"/>
      <c r="R210" s="41"/>
      <c r="S210" s="41"/>
      <c r="T210" s="39">
        <f t="shared" si="94"/>
        <v>0</v>
      </c>
      <c r="U210" s="39">
        <f t="shared" si="95"/>
        <v>0</v>
      </c>
      <c r="V210" s="41"/>
      <c r="W210" s="39">
        <v>0.2</v>
      </c>
      <c r="X210" s="39">
        <f t="shared" si="90"/>
        <v>0</v>
      </c>
      <c r="Y210" s="32">
        <f t="shared" si="91"/>
        <v>20000</v>
      </c>
      <c r="Z210" s="32">
        <f t="shared" si="92"/>
        <v>120000</v>
      </c>
    </row>
    <row r="211" spans="1:26" s="10" customFormat="1" ht="27.95" customHeight="1">
      <c r="A211" s="199">
        <v>4</v>
      </c>
      <c r="B211" s="200" t="s">
        <v>631</v>
      </c>
      <c r="C211" s="30"/>
      <c r="D211" s="30"/>
      <c r="E211" s="37">
        <f t="shared" si="89"/>
        <v>0.2</v>
      </c>
      <c r="F211" s="358"/>
      <c r="G211" s="353">
        <f t="shared" si="93"/>
        <v>0.2</v>
      </c>
      <c r="H211" s="39"/>
      <c r="I211" s="39"/>
      <c r="J211" s="41"/>
      <c r="K211" s="41"/>
      <c r="L211" s="41"/>
      <c r="M211" s="41"/>
      <c r="N211" s="355"/>
      <c r="O211" s="355"/>
      <c r="P211" s="41"/>
      <c r="Q211" s="41"/>
      <c r="R211" s="41"/>
      <c r="S211" s="41"/>
      <c r="T211" s="39">
        <f t="shared" si="94"/>
        <v>0</v>
      </c>
      <c r="U211" s="39">
        <f t="shared" si="95"/>
        <v>0</v>
      </c>
      <c r="V211" s="41"/>
      <c r="W211" s="39">
        <v>0.2</v>
      </c>
      <c r="X211" s="39">
        <f t="shared" si="90"/>
        <v>0</v>
      </c>
      <c r="Y211" s="32">
        <f t="shared" si="91"/>
        <v>20000</v>
      </c>
      <c r="Z211" s="32">
        <f t="shared" si="92"/>
        <v>120000</v>
      </c>
    </row>
    <row r="212" spans="1:26" s="10" customFormat="1" ht="27.95" customHeight="1">
      <c r="A212" s="199">
        <v>5</v>
      </c>
      <c r="B212" s="200" t="s">
        <v>178</v>
      </c>
      <c r="C212" s="30"/>
      <c r="D212" s="30"/>
      <c r="E212" s="37">
        <f t="shared" si="89"/>
        <v>0.2</v>
      </c>
      <c r="F212" s="358"/>
      <c r="G212" s="353">
        <f t="shared" si="93"/>
        <v>0.2</v>
      </c>
      <c r="H212" s="39"/>
      <c r="I212" s="39"/>
      <c r="J212" s="41"/>
      <c r="K212" s="41"/>
      <c r="L212" s="41"/>
      <c r="M212" s="41"/>
      <c r="N212" s="355"/>
      <c r="O212" s="355"/>
      <c r="P212" s="41"/>
      <c r="Q212" s="41"/>
      <c r="R212" s="41"/>
      <c r="S212" s="41"/>
      <c r="T212" s="39">
        <f t="shared" si="94"/>
        <v>0</v>
      </c>
      <c r="U212" s="39">
        <f t="shared" si="95"/>
        <v>0</v>
      </c>
      <c r="V212" s="41"/>
      <c r="W212" s="39">
        <v>0.2</v>
      </c>
      <c r="X212" s="39">
        <f t="shared" si="90"/>
        <v>0</v>
      </c>
      <c r="Y212" s="32">
        <f t="shared" si="91"/>
        <v>20000</v>
      </c>
      <c r="Z212" s="32">
        <f t="shared" si="92"/>
        <v>120000</v>
      </c>
    </row>
    <row r="213" spans="1:26" s="10" customFormat="1" ht="27.95" customHeight="1">
      <c r="A213" s="199">
        <v>6</v>
      </c>
      <c r="B213" s="154" t="s">
        <v>210</v>
      </c>
      <c r="C213" s="30"/>
      <c r="D213" s="30"/>
      <c r="E213" s="37">
        <f t="shared" si="89"/>
        <v>0.2</v>
      </c>
      <c r="F213" s="358"/>
      <c r="G213" s="353">
        <f t="shared" si="93"/>
        <v>0.2</v>
      </c>
      <c r="H213" s="39"/>
      <c r="I213" s="39"/>
      <c r="J213" s="41"/>
      <c r="K213" s="41"/>
      <c r="L213" s="41"/>
      <c r="M213" s="41"/>
      <c r="N213" s="355"/>
      <c r="O213" s="355"/>
      <c r="P213" s="41"/>
      <c r="Q213" s="41"/>
      <c r="R213" s="41"/>
      <c r="S213" s="41"/>
      <c r="T213" s="39">
        <f t="shared" si="94"/>
        <v>0</v>
      </c>
      <c r="U213" s="39">
        <f t="shared" si="95"/>
        <v>0</v>
      </c>
      <c r="V213" s="41"/>
      <c r="W213" s="39">
        <v>0.2</v>
      </c>
      <c r="X213" s="39">
        <f t="shared" si="90"/>
        <v>0</v>
      </c>
      <c r="Y213" s="32">
        <f t="shared" si="91"/>
        <v>20000</v>
      </c>
      <c r="Z213" s="32">
        <f t="shared" si="92"/>
        <v>120000</v>
      </c>
    </row>
    <row r="214" spans="1:26" s="10" customFormat="1" ht="27.95" customHeight="1">
      <c r="A214" s="199">
        <v>7</v>
      </c>
      <c r="B214" s="200" t="s">
        <v>215</v>
      </c>
      <c r="C214" s="30"/>
      <c r="D214" s="30"/>
      <c r="E214" s="37">
        <f t="shared" si="89"/>
        <v>0.2</v>
      </c>
      <c r="F214" s="358"/>
      <c r="G214" s="353">
        <f t="shared" si="93"/>
        <v>0.2</v>
      </c>
      <c r="H214" s="39"/>
      <c r="I214" s="39"/>
      <c r="J214" s="41"/>
      <c r="K214" s="41"/>
      <c r="L214" s="41"/>
      <c r="M214" s="41"/>
      <c r="N214" s="355"/>
      <c r="O214" s="355"/>
      <c r="P214" s="41"/>
      <c r="Q214" s="41"/>
      <c r="R214" s="41"/>
      <c r="S214" s="41"/>
      <c r="T214" s="39">
        <f t="shared" si="94"/>
        <v>0</v>
      </c>
      <c r="U214" s="39">
        <f t="shared" si="95"/>
        <v>0</v>
      </c>
      <c r="V214" s="41"/>
      <c r="W214" s="39">
        <v>0.2</v>
      </c>
      <c r="X214" s="39">
        <f t="shared" si="90"/>
        <v>0</v>
      </c>
      <c r="Y214" s="32">
        <f t="shared" si="91"/>
        <v>20000</v>
      </c>
      <c r="Z214" s="32">
        <f t="shared" si="92"/>
        <v>120000</v>
      </c>
    </row>
    <row r="215" spans="1:26" s="10" customFormat="1" ht="27.95" customHeight="1">
      <c r="A215" s="199">
        <v>8</v>
      </c>
      <c r="B215" s="173" t="s">
        <v>219</v>
      </c>
      <c r="C215" s="30"/>
      <c r="D215" s="30"/>
      <c r="E215" s="37">
        <f t="shared" si="89"/>
        <v>0.2</v>
      </c>
      <c r="F215" s="358"/>
      <c r="G215" s="353">
        <f t="shared" si="93"/>
        <v>0.2</v>
      </c>
      <c r="H215" s="39"/>
      <c r="I215" s="39"/>
      <c r="J215" s="41"/>
      <c r="K215" s="41"/>
      <c r="L215" s="41"/>
      <c r="M215" s="41"/>
      <c r="N215" s="355"/>
      <c r="O215" s="355"/>
      <c r="P215" s="41"/>
      <c r="Q215" s="41"/>
      <c r="R215" s="41"/>
      <c r="S215" s="41"/>
      <c r="T215" s="39">
        <f t="shared" si="94"/>
        <v>0</v>
      </c>
      <c r="U215" s="39">
        <f t="shared" si="95"/>
        <v>0</v>
      </c>
      <c r="V215" s="41"/>
      <c r="W215" s="39">
        <v>0.2</v>
      </c>
      <c r="X215" s="39">
        <f t="shared" si="90"/>
        <v>0</v>
      </c>
      <c r="Y215" s="32">
        <f t="shared" si="91"/>
        <v>20000</v>
      </c>
      <c r="Z215" s="32">
        <f t="shared" si="92"/>
        <v>120000</v>
      </c>
    </row>
    <row r="216" spans="1:26" s="10" customFormat="1" ht="27.95" customHeight="1">
      <c r="A216" s="199">
        <v>9</v>
      </c>
      <c r="B216" s="200" t="s">
        <v>204</v>
      </c>
      <c r="C216" s="30"/>
      <c r="D216" s="30"/>
      <c r="E216" s="37">
        <f t="shared" si="89"/>
        <v>0.2</v>
      </c>
      <c r="F216" s="358"/>
      <c r="G216" s="353">
        <f t="shared" si="93"/>
        <v>0.2</v>
      </c>
      <c r="H216" s="39"/>
      <c r="I216" s="39"/>
      <c r="J216" s="41"/>
      <c r="K216" s="41"/>
      <c r="L216" s="41"/>
      <c r="M216" s="41"/>
      <c r="N216" s="355"/>
      <c r="O216" s="355"/>
      <c r="P216" s="41"/>
      <c r="Q216" s="41"/>
      <c r="R216" s="41"/>
      <c r="S216" s="41"/>
      <c r="T216" s="39">
        <f t="shared" si="94"/>
        <v>0</v>
      </c>
      <c r="U216" s="39">
        <f t="shared" si="95"/>
        <v>0</v>
      </c>
      <c r="V216" s="41"/>
      <c r="W216" s="39">
        <v>0.2</v>
      </c>
      <c r="X216" s="39">
        <f t="shared" si="90"/>
        <v>0</v>
      </c>
      <c r="Y216" s="32">
        <f t="shared" si="91"/>
        <v>20000</v>
      </c>
      <c r="Z216" s="32">
        <f t="shared" si="92"/>
        <v>120000</v>
      </c>
    </row>
    <row r="217" spans="1:26" s="10" customFormat="1" ht="27.95" customHeight="1">
      <c r="A217" s="199">
        <v>10</v>
      </c>
      <c r="B217" s="202" t="s">
        <v>619</v>
      </c>
      <c r="C217" s="30"/>
      <c r="D217" s="30"/>
      <c r="E217" s="37">
        <f t="shared" si="89"/>
        <v>0.2</v>
      </c>
      <c r="F217" s="358"/>
      <c r="G217" s="353">
        <f t="shared" si="93"/>
        <v>0.2</v>
      </c>
      <c r="H217" s="39"/>
      <c r="I217" s="39"/>
      <c r="J217" s="41"/>
      <c r="K217" s="41"/>
      <c r="L217" s="41"/>
      <c r="M217" s="41"/>
      <c r="N217" s="355"/>
      <c r="O217" s="355"/>
      <c r="P217" s="41"/>
      <c r="Q217" s="41"/>
      <c r="R217" s="41"/>
      <c r="S217" s="41"/>
      <c r="T217" s="39">
        <f t="shared" si="94"/>
        <v>0</v>
      </c>
      <c r="U217" s="39">
        <f t="shared" si="95"/>
        <v>0</v>
      </c>
      <c r="V217" s="41"/>
      <c r="W217" s="39">
        <v>0.2</v>
      </c>
      <c r="X217" s="39">
        <f t="shared" si="90"/>
        <v>0</v>
      </c>
      <c r="Y217" s="32">
        <f t="shared" si="91"/>
        <v>20000</v>
      </c>
      <c r="Z217" s="32">
        <f t="shared" si="92"/>
        <v>120000</v>
      </c>
    </row>
    <row r="218" spans="1:26" s="10" customFormat="1" ht="27.95" customHeight="1">
      <c r="A218" s="199">
        <v>11</v>
      </c>
      <c r="B218" s="154" t="s">
        <v>620</v>
      </c>
      <c r="C218" s="30"/>
      <c r="D218" s="30"/>
      <c r="E218" s="37">
        <f t="shared" si="89"/>
        <v>0.2</v>
      </c>
      <c r="F218" s="358"/>
      <c r="G218" s="353">
        <f t="shared" si="93"/>
        <v>0.2</v>
      </c>
      <c r="H218" s="39"/>
      <c r="I218" s="39"/>
      <c r="J218" s="41"/>
      <c r="K218" s="41"/>
      <c r="L218" s="41"/>
      <c r="M218" s="41"/>
      <c r="N218" s="355"/>
      <c r="O218" s="355"/>
      <c r="P218" s="41"/>
      <c r="Q218" s="41"/>
      <c r="R218" s="41"/>
      <c r="S218" s="41"/>
      <c r="T218" s="39">
        <f t="shared" si="94"/>
        <v>0</v>
      </c>
      <c r="U218" s="39">
        <f t="shared" si="95"/>
        <v>0</v>
      </c>
      <c r="V218" s="41"/>
      <c r="W218" s="39">
        <v>0.2</v>
      </c>
      <c r="X218" s="39">
        <f t="shared" si="90"/>
        <v>0</v>
      </c>
      <c r="Y218" s="32">
        <f t="shared" si="91"/>
        <v>20000</v>
      </c>
      <c r="Z218" s="32">
        <f t="shared" si="92"/>
        <v>120000</v>
      </c>
    </row>
    <row r="219" spans="1:26" s="10" customFormat="1" ht="27.95" customHeight="1">
      <c r="A219" s="199">
        <v>12</v>
      </c>
      <c r="B219" s="203" t="s">
        <v>632</v>
      </c>
      <c r="C219" s="30"/>
      <c r="D219" s="30"/>
      <c r="E219" s="37">
        <f t="shared" si="89"/>
        <v>0.2</v>
      </c>
      <c r="F219" s="358"/>
      <c r="G219" s="353">
        <f t="shared" si="93"/>
        <v>0.2</v>
      </c>
      <c r="H219" s="39"/>
      <c r="I219" s="39"/>
      <c r="J219" s="41"/>
      <c r="K219" s="41"/>
      <c r="L219" s="41"/>
      <c r="M219" s="41"/>
      <c r="N219" s="355"/>
      <c r="O219" s="355"/>
      <c r="P219" s="41"/>
      <c r="Q219" s="41"/>
      <c r="R219" s="41"/>
      <c r="S219" s="41"/>
      <c r="T219" s="39">
        <f t="shared" si="94"/>
        <v>0</v>
      </c>
      <c r="U219" s="39">
        <f t="shared" si="95"/>
        <v>0</v>
      </c>
      <c r="V219" s="41"/>
      <c r="W219" s="39">
        <v>0.2</v>
      </c>
      <c r="X219" s="39">
        <f t="shared" si="90"/>
        <v>0</v>
      </c>
      <c r="Y219" s="32">
        <f t="shared" si="91"/>
        <v>20000</v>
      </c>
      <c r="Z219" s="32">
        <f t="shared" si="92"/>
        <v>120000</v>
      </c>
    </row>
    <row r="220" spans="1:26" s="10" customFormat="1" ht="27.95" customHeight="1">
      <c r="A220" s="199">
        <v>13</v>
      </c>
      <c r="B220" s="200" t="s">
        <v>182</v>
      </c>
      <c r="C220" s="30"/>
      <c r="D220" s="30"/>
      <c r="E220" s="37">
        <f t="shared" si="89"/>
        <v>0.2</v>
      </c>
      <c r="F220" s="358"/>
      <c r="G220" s="353">
        <f t="shared" si="93"/>
        <v>0.2</v>
      </c>
      <c r="H220" s="39"/>
      <c r="I220" s="39"/>
      <c r="J220" s="41"/>
      <c r="K220" s="41"/>
      <c r="L220" s="41"/>
      <c r="M220" s="41"/>
      <c r="N220" s="355"/>
      <c r="O220" s="355"/>
      <c r="P220" s="41"/>
      <c r="Q220" s="41"/>
      <c r="R220" s="41"/>
      <c r="S220" s="41"/>
      <c r="T220" s="39">
        <f t="shared" si="94"/>
        <v>0</v>
      </c>
      <c r="U220" s="39">
        <f t="shared" si="95"/>
        <v>0</v>
      </c>
      <c r="V220" s="41"/>
      <c r="W220" s="39">
        <v>0.2</v>
      </c>
      <c r="X220" s="39">
        <f t="shared" si="90"/>
        <v>0</v>
      </c>
      <c r="Y220" s="32">
        <f t="shared" si="91"/>
        <v>20000</v>
      </c>
      <c r="Z220" s="32">
        <f t="shared" si="92"/>
        <v>120000</v>
      </c>
    </row>
    <row r="221" spans="1:26" s="10" customFormat="1" ht="27.95" customHeight="1">
      <c r="A221" s="199">
        <v>14</v>
      </c>
      <c r="B221" s="200" t="s">
        <v>216</v>
      </c>
      <c r="C221" s="30"/>
      <c r="D221" s="30"/>
      <c r="E221" s="37">
        <f t="shared" si="89"/>
        <v>0.2</v>
      </c>
      <c r="F221" s="358"/>
      <c r="G221" s="353">
        <f t="shared" si="93"/>
        <v>0.2</v>
      </c>
      <c r="H221" s="39"/>
      <c r="I221" s="39"/>
      <c r="J221" s="41"/>
      <c r="K221" s="41"/>
      <c r="L221" s="41"/>
      <c r="M221" s="41"/>
      <c r="N221" s="355"/>
      <c r="O221" s="355"/>
      <c r="P221" s="41"/>
      <c r="Q221" s="41"/>
      <c r="R221" s="41"/>
      <c r="S221" s="41"/>
      <c r="T221" s="39">
        <f t="shared" si="94"/>
        <v>0</v>
      </c>
      <c r="U221" s="39">
        <f t="shared" si="95"/>
        <v>0</v>
      </c>
      <c r="V221" s="41"/>
      <c r="W221" s="39">
        <v>0.2</v>
      </c>
      <c r="X221" s="39">
        <f t="shared" si="90"/>
        <v>0</v>
      </c>
      <c r="Y221" s="32">
        <f t="shared" si="91"/>
        <v>20000</v>
      </c>
      <c r="Z221" s="32">
        <f t="shared" si="92"/>
        <v>120000</v>
      </c>
    </row>
    <row r="222" spans="1:26" s="10" customFormat="1" ht="27.95" customHeight="1">
      <c r="A222" s="199">
        <v>15</v>
      </c>
      <c r="B222" s="154" t="s">
        <v>238</v>
      </c>
      <c r="C222" s="30"/>
      <c r="D222" s="30"/>
      <c r="E222" s="37">
        <f t="shared" si="89"/>
        <v>0.2</v>
      </c>
      <c r="F222" s="358"/>
      <c r="G222" s="353">
        <f t="shared" si="93"/>
        <v>0.2</v>
      </c>
      <c r="H222" s="39"/>
      <c r="I222" s="39"/>
      <c r="J222" s="41"/>
      <c r="K222" s="41"/>
      <c r="L222" s="41"/>
      <c r="M222" s="41"/>
      <c r="N222" s="355"/>
      <c r="O222" s="355"/>
      <c r="P222" s="41"/>
      <c r="Q222" s="41"/>
      <c r="R222" s="41"/>
      <c r="S222" s="41"/>
      <c r="T222" s="39">
        <f t="shared" si="94"/>
        <v>0</v>
      </c>
      <c r="U222" s="39">
        <f t="shared" si="95"/>
        <v>0</v>
      </c>
      <c r="V222" s="41"/>
      <c r="W222" s="39">
        <v>0.2</v>
      </c>
      <c r="X222" s="39">
        <f t="shared" si="90"/>
        <v>0</v>
      </c>
      <c r="Y222" s="32">
        <f t="shared" si="91"/>
        <v>20000</v>
      </c>
      <c r="Z222" s="32">
        <f t="shared" si="92"/>
        <v>120000</v>
      </c>
    </row>
    <row r="223" spans="1:26" s="10" customFormat="1" ht="27.95" customHeight="1">
      <c r="A223" s="199">
        <v>16</v>
      </c>
      <c r="B223" s="154" t="s">
        <v>233</v>
      </c>
      <c r="C223" s="30"/>
      <c r="D223" s="30"/>
      <c r="E223" s="37">
        <f t="shared" si="89"/>
        <v>0.2</v>
      </c>
      <c r="F223" s="358"/>
      <c r="G223" s="353">
        <f t="shared" si="93"/>
        <v>0.2</v>
      </c>
      <c r="H223" s="39"/>
      <c r="I223" s="39"/>
      <c r="J223" s="41"/>
      <c r="K223" s="41"/>
      <c r="L223" s="41"/>
      <c r="M223" s="41"/>
      <c r="N223" s="355"/>
      <c r="O223" s="355"/>
      <c r="P223" s="41"/>
      <c r="Q223" s="41"/>
      <c r="R223" s="41"/>
      <c r="S223" s="41"/>
      <c r="T223" s="39">
        <f t="shared" si="94"/>
        <v>0</v>
      </c>
      <c r="U223" s="39">
        <f t="shared" si="95"/>
        <v>0</v>
      </c>
      <c r="V223" s="41"/>
      <c r="W223" s="39">
        <v>0.2</v>
      </c>
      <c r="X223" s="39">
        <f t="shared" si="90"/>
        <v>0</v>
      </c>
      <c r="Y223" s="32">
        <f t="shared" si="91"/>
        <v>20000</v>
      </c>
      <c r="Z223" s="32">
        <f t="shared" si="92"/>
        <v>120000</v>
      </c>
    </row>
    <row r="224" spans="1:26" s="10" customFormat="1" ht="27.95" customHeight="1">
      <c r="A224" s="199">
        <v>17</v>
      </c>
      <c r="B224" s="154" t="s">
        <v>621</v>
      </c>
      <c r="C224" s="30"/>
      <c r="D224" s="30"/>
      <c r="E224" s="37">
        <f t="shared" si="89"/>
        <v>0.2</v>
      </c>
      <c r="F224" s="358"/>
      <c r="G224" s="353">
        <f t="shared" si="93"/>
        <v>0.2</v>
      </c>
      <c r="H224" s="39"/>
      <c r="I224" s="39"/>
      <c r="J224" s="41"/>
      <c r="K224" s="41"/>
      <c r="L224" s="41"/>
      <c r="M224" s="41"/>
      <c r="N224" s="355"/>
      <c r="O224" s="355"/>
      <c r="P224" s="41"/>
      <c r="Q224" s="41"/>
      <c r="R224" s="41"/>
      <c r="S224" s="41"/>
      <c r="T224" s="39">
        <f t="shared" si="94"/>
        <v>0</v>
      </c>
      <c r="U224" s="39">
        <f t="shared" si="95"/>
        <v>0</v>
      </c>
      <c r="V224" s="41"/>
      <c r="W224" s="39">
        <v>0.2</v>
      </c>
      <c r="X224" s="39">
        <f t="shared" si="90"/>
        <v>0</v>
      </c>
      <c r="Y224" s="32">
        <f t="shared" si="91"/>
        <v>20000</v>
      </c>
      <c r="Z224" s="32">
        <f t="shared" si="92"/>
        <v>120000</v>
      </c>
    </row>
    <row r="225" spans="1:26" s="10" customFormat="1" ht="27.95" customHeight="1">
      <c r="A225" s="199">
        <v>18</v>
      </c>
      <c r="B225" s="202" t="s">
        <v>229</v>
      </c>
      <c r="C225" s="30"/>
      <c r="D225" s="30"/>
      <c r="E225" s="37">
        <f t="shared" si="89"/>
        <v>0.2</v>
      </c>
      <c r="F225" s="358"/>
      <c r="G225" s="353">
        <f t="shared" si="93"/>
        <v>0.2</v>
      </c>
      <c r="H225" s="39"/>
      <c r="I225" s="39"/>
      <c r="J225" s="41"/>
      <c r="K225" s="41"/>
      <c r="L225" s="41"/>
      <c r="M225" s="41"/>
      <c r="N225" s="355"/>
      <c r="O225" s="355"/>
      <c r="P225" s="41"/>
      <c r="Q225" s="41"/>
      <c r="R225" s="41"/>
      <c r="S225" s="41"/>
      <c r="T225" s="39">
        <f t="shared" si="94"/>
        <v>0</v>
      </c>
      <c r="U225" s="39">
        <f t="shared" si="95"/>
        <v>0</v>
      </c>
      <c r="V225" s="41"/>
      <c r="W225" s="39">
        <v>0.2</v>
      </c>
      <c r="X225" s="39">
        <f t="shared" si="90"/>
        <v>0</v>
      </c>
      <c r="Y225" s="32">
        <f t="shared" si="91"/>
        <v>20000</v>
      </c>
      <c r="Z225" s="32">
        <f t="shared" si="92"/>
        <v>120000</v>
      </c>
    </row>
    <row r="226" spans="1:26" s="10" customFormat="1" ht="27.95" customHeight="1">
      <c r="A226" s="199">
        <v>19</v>
      </c>
      <c r="B226" s="154" t="s">
        <v>622</v>
      </c>
      <c r="C226" s="30"/>
      <c r="D226" s="30"/>
      <c r="E226" s="37">
        <f t="shared" si="89"/>
        <v>0.2</v>
      </c>
      <c r="F226" s="358"/>
      <c r="G226" s="353">
        <f t="shared" si="93"/>
        <v>0.2</v>
      </c>
      <c r="H226" s="39"/>
      <c r="I226" s="39"/>
      <c r="J226" s="41"/>
      <c r="K226" s="41"/>
      <c r="L226" s="41"/>
      <c r="M226" s="41"/>
      <c r="N226" s="355"/>
      <c r="O226" s="355"/>
      <c r="P226" s="41"/>
      <c r="Q226" s="41"/>
      <c r="R226" s="41"/>
      <c r="S226" s="41"/>
      <c r="T226" s="39">
        <f t="shared" si="94"/>
        <v>0</v>
      </c>
      <c r="U226" s="39">
        <f t="shared" si="95"/>
        <v>0</v>
      </c>
      <c r="V226" s="41"/>
      <c r="W226" s="39">
        <v>0.2</v>
      </c>
      <c r="X226" s="39">
        <f t="shared" si="90"/>
        <v>0</v>
      </c>
      <c r="Y226" s="32">
        <f t="shared" si="91"/>
        <v>20000</v>
      </c>
      <c r="Z226" s="32">
        <f t="shared" si="92"/>
        <v>120000</v>
      </c>
    </row>
    <row r="227" spans="1:26" s="10" customFormat="1" ht="27.95" customHeight="1">
      <c r="A227" s="199">
        <v>20</v>
      </c>
      <c r="B227" s="204" t="s">
        <v>252</v>
      </c>
      <c r="C227" s="30"/>
      <c r="D227" s="30"/>
      <c r="E227" s="37">
        <f t="shared" si="89"/>
        <v>0.2</v>
      </c>
      <c r="F227" s="358"/>
      <c r="G227" s="353">
        <f t="shared" si="93"/>
        <v>0.2</v>
      </c>
      <c r="H227" s="39"/>
      <c r="I227" s="39"/>
      <c r="J227" s="41"/>
      <c r="K227" s="41"/>
      <c r="L227" s="41"/>
      <c r="M227" s="41"/>
      <c r="N227" s="355"/>
      <c r="O227" s="355"/>
      <c r="P227" s="41"/>
      <c r="Q227" s="41"/>
      <c r="R227" s="41"/>
      <c r="S227" s="41"/>
      <c r="T227" s="39">
        <f t="shared" si="94"/>
        <v>0</v>
      </c>
      <c r="U227" s="39">
        <f t="shared" si="95"/>
        <v>0</v>
      </c>
      <c r="V227" s="41"/>
      <c r="W227" s="39">
        <v>0.2</v>
      </c>
      <c r="X227" s="39">
        <f t="shared" si="90"/>
        <v>0</v>
      </c>
      <c r="Y227" s="32">
        <f t="shared" si="91"/>
        <v>20000</v>
      </c>
      <c r="Z227" s="32">
        <f t="shared" si="92"/>
        <v>120000</v>
      </c>
    </row>
    <row r="228" spans="1:26" s="10" customFormat="1" ht="27.95" customHeight="1">
      <c r="A228" s="199">
        <v>21</v>
      </c>
      <c r="B228" s="200" t="s">
        <v>624</v>
      </c>
      <c r="C228" s="30"/>
      <c r="D228" s="30"/>
      <c r="E228" s="37">
        <f t="shared" si="89"/>
        <v>0.2</v>
      </c>
      <c r="F228" s="358"/>
      <c r="G228" s="353">
        <f t="shared" si="93"/>
        <v>0.2</v>
      </c>
      <c r="H228" s="39"/>
      <c r="I228" s="39"/>
      <c r="J228" s="41"/>
      <c r="K228" s="41"/>
      <c r="L228" s="41"/>
      <c r="M228" s="41"/>
      <c r="N228" s="355"/>
      <c r="O228" s="355"/>
      <c r="P228" s="41"/>
      <c r="Q228" s="41"/>
      <c r="R228" s="41"/>
      <c r="S228" s="41"/>
      <c r="T228" s="39">
        <f t="shared" si="94"/>
        <v>0</v>
      </c>
      <c r="U228" s="39">
        <f t="shared" si="95"/>
        <v>0</v>
      </c>
      <c r="V228" s="41"/>
      <c r="W228" s="39">
        <v>0.2</v>
      </c>
      <c r="X228" s="39">
        <f t="shared" si="90"/>
        <v>0</v>
      </c>
      <c r="Y228" s="32">
        <f t="shared" si="91"/>
        <v>20000</v>
      </c>
      <c r="Z228" s="32">
        <f t="shared" si="92"/>
        <v>120000</v>
      </c>
    </row>
    <row r="229" spans="1:26" s="10" customFormat="1" ht="27.95" customHeight="1">
      <c r="A229" s="199">
        <v>22</v>
      </c>
      <c r="B229" s="154" t="s">
        <v>250</v>
      </c>
      <c r="C229" s="30"/>
      <c r="D229" s="30"/>
      <c r="E229" s="37">
        <f t="shared" si="89"/>
        <v>0.2</v>
      </c>
      <c r="F229" s="358"/>
      <c r="G229" s="353">
        <f t="shared" si="93"/>
        <v>0.2</v>
      </c>
      <c r="H229" s="39"/>
      <c r="I229" s="39"/>
      <c r="J229" s="41"/>
      <c r="K229" s="41"/>
      <c r="L229" s="41"/>
      <c r="M229" s="41"/>
      <c r="N229" s="355"/>
      <c r="O229" s="355"/>
      <c r="P229" s="41"/>
      <c r="Q229" s="41"/>
      <c r="R229" s="41"/>
      <c r="S229" s="41"/>
      <c r="T229" s="39">
        <f t="shared" si="94"/>
        <v>0</v>
      </c>
      <c r="U229" s="39">
        <f t="shared" si="95"/>
        <v>0</v>
      </c>
      <c r="V229" s="41"/>
      <c r="W229" s="39">
        <v>0.2</v>
      </c>
      <c r="X229" s="39">
        <f t="shared" si="90"/>
        <v>0</v>
      </c>
      <c r="Y229" s="32">
        <f t="shared" si="91"/>
        <v>20000</v>
      </c>
      <c r="Z229" s="32">
        <f t="shared" si="92"/>
        <v>120000</v>
      </c>
    </row>
    <row r="230" spans="1:26" s="10" customFormat="1" ht="27.95" customHeight="1">
      <c r="A230" s="199">
        <v>23</v>
      </c>
      <c r="B230" s="154" t="s">
        <v>309</v>
      </c>
      <c r="C230" s="30"/>
      <c r="D230" s="30"/>
      <c r="E230" s="37">
        <f t="shared" si="89"/>
        <v>0.2</v>
      </c>
      <c r="F230" s="358"/>
      <c r="G230" s="353">
        <f t="shared" si="93"/>
        <v>0.2</v>
      </c>
      <c r="H230" s="39"/>
      <c r="I230" s="39"/>
      <c r="J230" s="41"/>
      <c r="K230" s="41"/>
      <c r="L230" s="41"/>
      <c r="M230" s="41"/>
      <c r="N230" s="355"/>
      <c r="O230" s="355"/>
      <c r="P230" s="41"/>
      <c r="Q230" s="41"/>
      <c r="R230" s="41"/>
      <c r="S230" s="41"/>
      <c r="T230" s="39">
        <f t="shared" si="94"/>
        <v>0</v>
      </c>
      <c r="U230" s="39">
        <f t="shared" si="95"/>
        <v>0</v>
      </c>
      <c r="V230" s="41"/>
      <c r="W230" s="39">
        <v>0.2</v>
      </c>
      <c r="X230" s="39">
        <f t="shared" si="90"/>
        <v>0</v>
      </c>
      <c r="Y230" s="32">
        <f t="shared" si="91"/>
        <v>20000</v>
      </c>
      <c r="Z230" s="32">
        <f t="shared" si="92"/>
        <v>120000</v>
      </c>
    </row>
    <row r="231" spans="1:26" s="10" customFormat="1" ht="27.95" customHeight="1">
      <c r="A231" s="199">
        <v>24</v>
      </c>
      <c r="B231" s="154" t="s">
        <v>340</v>
      </c>
      <c r="C231" s="30"/>
      <c r="D231" s="30"/>
      <c r="E231" s="37">
        <f t="shared" si="89"/>
        <v>0.2</v>
      </c>
      <c r="F231" s="358"/>
      <c r="G231" s="353">
        <f t="shared" si="93"/>
        <v>0.2</v>
      </c>
      <c r="H231" s="39"/>
      <c r="I231" s="39"/>
      <c r="J231" s="41"/>
      <c r="K231" s="41"/>
      <c r="L231" s="41"/>
      <c r="M231" s="41"/>
      <c r="N231" s="355"/>
      <c r="O231" s="355"/>
      <c r="P231" s="41"/>
      <c r="Q231" s="41"/>
      <c r="R231" s="41"/>
      <c r="S231" s="41"/>
      <c r="T231" s="39">
        <f t="shared" si="94"/>
        <v>0</v>
      </c>
      <c r="U231" s="39">
        <f t="shared" si="95"/>
        <v>0</v>
      </c>
      <c r="V231" s="41"/>
      <c r="W231" s="39">
        <v>0.2</v>
      </c>
      <c r="X231" s="39">
        <f t="shared" si="90"/>
        <v>0</v>
      </c>
      <c r="Y231" s="32">
        <f t="shared" si="91"/>
        <v>20000</v>
      </c>
      <c r="Z231" s="32">
        <f t="shared" si="92"/>
        <v>120000</v>
      </c>
    </row>
    <row r="232" spans="1:26" s="10" customFormat="1" ht="27.95" customHeight="1">
      <c r="A232" s="199">
        <v>25</v>
      </c>
      <c r="B232" s="173" t="s">
        <v>130</v>
      </c>
      <c r="C232" s="30"/>
      <c r="D232" s="30"/>
      <c r="E232" s="37">
        <f t="shared" si="89"/>
        <v>0.2</v>
      </c>
      <c r="F232" s="358"/>
      <c r="G232" s="353">
        <f t="shared" si="93"/>
        <v>0.2</v>
      </c>
      <c r="H232" s="39"/>
      <c r="I232" s="39"/>
      <c r="J232" s="41"/>
      <c r="K232" s="41"/>
      <c r="L232" s="41"/>
      <c r="M232" s="41"/>
      <c r="N232" s="355"/>
      <c r="O232" s="355"/>
      <c r="P232" s="41"/>
      <c r="Q232" s="41"/>
      <c r="R232" s="41"/>
      <c r="S232" s="41"/>
      <c r="T232" s="39">
        <f t="shared" si="94"/>
        <v>0</v>
      </c>
      <c r="U232" s="39">
        <f t="shared" si="95"/>
        <v>0</v>
      </c>
      <c r="V232" s="41"/>
      <c r="W232" s="39">
        <v>0.2</v>
      </c>
      <c r="X232" s="39">
        <f t="shared" si="90"/>
        <v>0</v>
      </c>
      <c r="Y232" s="32">
        <f t="shared" si="91"/>
        <v>20000</v>
      </c>
      <c r="Z232" s="32">
        <f t="shared" si="92"/>
        <v>120000</v>
      </c>
    </row>
    <row r="233" spans="1:26" s="10" customFormat="1" ht="27.95" customHeight="1">
      <c r="A233" s="199">
        <v>26</v>
      </c>
      <c r="B233" s="154" t="s">
        <v>625</v>
      </c>
      <c r="C233" s="30"/>
      <c r="D233" s="30"/>
      <c r="E233" s="37">
        <f t="shared" si="89"/>
        <v>0.2</v>
      </c>
      <c r="F233" s="358"/>
      <c r="G233" s="353">
        <f t="shared" si="93"/>
        <v>0.2</v>
      </c>
      <c r="H233" s="39"/>
      <c r="I233" s="39"/>
      <c r="J233" s="41"/>
      <c r="K233" s="41"/>
      <c r="L233" s="41"/>
      <c r="M233" s="41"/>
      <c r="N233" s="355"/>
      <c r="O233" s="355"/>
      <c r="P233" s="41"/>
      <c r="Q233" s="41"/>
      <c r="R233" s="41"/>
      <c r="S233" s="41"/>
      <c r="T233" s="39">
        <f t="shared" si="94"/>
        <v>0</v>
      </c>
      <c r="U233" s="39">
        <f t="shared" si="95"/>
        <v>0</v>
      </c>
      <c r="V233" s="41"/>
      <c r="W233" s="39">
        <v>0.2</v>
      </c>
      <c r="X233" s="39">
        <f t="shared" si="90"/>
        <v>0</v>
      </c>
      <c r="Y233" s="32">
        <f t="shared" si="91"/>
        <v>20000</v>
      </c>
      <c r="Z233" s="32">
        <f t="shared" si="92"/>
        <v>120000</v>
      </c>
    </row>
    <row r="234" spans="1:26" s="10" customFormat="1" ht="27.95" customHeight="1">
      <c r="A234" s="67" t="s">
        <v>546</v>
      </c>
      <c r="B234" s="108" t="s">
        <v>633</v>
      </c>
      <c r="C234" s="30"/>
      <c r="D234" s="30"/>
      <c r="E234" s="40">
        <f t="shared" ref="E234:Z234" si="96">SUM(E235:E237)</f>
        <v>0.89999999999999991</v>
      </c>
      <c r="F234" s="63">
        <f t="shared" si="96"/>
        <v>0</v>
      </c>
      <c r="G234" s="63">
        <f t="shared" si="96"/>
        <v>0.89999999999999991</v>
      </c>
      <c r="H234" s="63">
        <f t="shared" si="96"/>
        <v>0</v>
      </c>
      <c r="I234" s="63">
        <f t="shared" si="96"/>
        <v>0</v>
      </c>
      <c r="J234" s="63">
        <f t="shared" si="96"/>
        <v>0</v>
      </c>
      <c r="K234" s="63">
        <f t="shared" si="96"/>
        <v>0</v>
      </c>
      <c r="L234" s="63">
        <f t="shared" si="96"/>
        <v>0</v>
      </c>
      <c r="M234" s="63">
        <f t="shared" si="96"/>
        <v>0</v>
      </c>
      <c r="N234" s="63">
        <f t="shared" si="96"/>
        <v>0.89999999999999991</v>
      </c>
      <c r="O234" s="63">
        <f t="shared" si="96"/>
        <v>0</v>
      </c>
      <c r="P234" s="63">
        <f t="shared" si="96"/>
        <v>0</v>
      </c>
      <c r="Q234" s="63">
        <f t="shared" si="96"/>
        <v>0</v>
      </c>
      <c r="R234" s="63">
        <f t="shared" si="96"/>
        <v>0</v>
      </c>
      <c r="S234" s="63">
        <f t="shared" si="96"/>
        <v>0</v>
      </c>
      <c r="T234" s="63">
        <f t="shared" si="96"/>
        <v>0</v>
      </c>
      <c r="U234" s="63">
        <f t="shared" si="96"/>
        <v>0</v>
      </c>
      <c r="V234" s="63">
        <f t="shared" si="96"/>
        <v>0</v>
      </c>
      <c r="W234" s="63">
        <f t="shared" si="96"/>
        <v>0</v>
      </c>
      <c r="X234" s="63">
        <f t="shared" si="96"/>
        <v>0</v>
      </c>
      <c r="Y234" s="33">
        <f t="shared" si="96"/>
        <v>90000</v>
      </c>
      <c r="Z234" s="33">
        <f t="shared" si="96"/>
        <v>540000</v>
      </c>
    </row>
    <row r="235" spans="1:26" s="10" customFormat="1" ht="27.95" customHeight="1">
      <c r="A235" s="50">
        <v>1</v>
      </c>
      <c r="B235" s="56" t="s">
        <v>187</v>
      </c>
      <c r="C235" s="30"/>
      <c r="D235" s="30"/>
      <c r="E235" s="37">
        <f>+F235+G235+X235</f>
        <v>0.3</v>
      </c>
      <c r="F235" s="358"/>
      <c r="G235" s="353">
        <f>+SUM(H235:W235)</f>
        <v>0.3</v>
      </c>
      <c r="H235" s="39"/>
      <c r="I235" s="39"/>
      <c r="J235" s="41"/>
      <c r="K235" s="41"/>
      <c r="L235" s="41"/>
      <c r="M235" s="41"/>
      <c r="N235" s="43">
        <v>0.3</v>
      </c>
      <c r="O235" s="355"/>
      <c r="P235" s="41"/>
      <c r="Q235" s="41"/>
      <c r="R235" s="41"/>
      <c r="S235" s="41"/>
      <c r="T235" s="39">
        <f>(F235+I235+J235)*25/100</f>
        <v>0</v>
      </c>
      <c r="U235" s="39">
        <f>(F235+I235+J235)*30/100</f>
        <v>0</v>
      </c>
      <c r="V235" s="41"/>
      <c r="W235" s="39"/>
      <c r="X235" s="39">
        <f>(F235+I235+J235+K235)*22.5/100</f>
        <v>0</v>
      </c>
      <c r="Y235" s="32">
        <f>E235*100000</f>
        <v>30000</v>
      </c>
      <c r="Z235" s="32">
        <f>Y235*6</f>
        <v>180000</v>
      </c>
    </row>
    <row r="236" spans="1:26" s="10" customFormat="1" ht="27.95" customHeight="1">
      <c r="A236" s="50">
        <v>2</v>
      </c>
      <c r="B236" s="49" t="s">
        <v>195</v>
      </c>
      <c r="C236" s="30"/>
      <c r="D236" s="30"/>
      <c r="E236" s="37">
        <f>+F236+G236+X236</f>
        <v>0.3</v>
      </c>
      <c r="F236" s="358"/>
      <c r="G236" s="353">
        <f>+SUM(H236:W236)</f>
        <v>0.3</v>
      </c>
      <c r="H236" s="39"/>
      <c r="I236" s="39"/>
      <c r="J236" s="41"/>
      <c r="K236" s="41"/>
      <c r="L236" s="41"/>
      <c r="M236" s="41"/>
      <c r="N236" s="43">
        <v>0.3</v>
      </c>
      <c r="O236" s="355"/>
      <c r="P236" s="41"/>
      <c r="Q236" s="41"/>
      <c r="R236" s="41"/>
      <c r="S236" s="41"/>
      <c r="T236" s="39">
        <f>(F236+I236+J236)*25/100</f>
        <v>0</v>
      </c>
      <c r="U236" s="39">
        <f>(F236+I236+J236)*30/100</f>
        <v>0</v>
      </c>
      <c r="V236" s="41"/>
      <c r="W236" s="39"/>
      <c r="X236" s="39">
        <f>(F236+I236+J236+K236)*22.5/100</f>
        <v>0</v>
      </c>
      <c r="Y236" s="32">
        <f>E236*100000</f>
        <v>30000</v>
      </c>
      <c r="Z236" s="32">
        <f>Y236*6</f>
        <v>180000</v>
      </c>
    </row>
    <row r="237" spans="1:26" s="10" customFormat="1" ht="27.95" customHeight="1">
      <c r="A237" s="50">
        <v>3</v>
      </c>
      <c r="B237" s="49" t="s">
        <v>216</v>
      </c>
      <c r="C237" s="30"/>
      <c r="D237" s="30"/>
      <c r="E237" s="37">
        <f>+F237+G237+X237</f>
        <v>0.3</v>
      </c>
      <c r="F237" s="358"/>
      <c r="G237" s="353">
        <f>+SUM(H237:W237)</f>
        <v>0.3</v>
      </c>
      <c r="H237" s="39"/>
      <c r="I237" s="39"/>
      <c r="J237" s="41"/>
      <c r="K237" s="41"/>
      <c r="L237" s="41"/>
      <c r="M237" s="41"/>
      <c r="N237" s="43">
        <v>0.3</v>
      </c>
      <c r="O237" s="355"/>
      <c r="P237" s="41"/>
      <c r="Q237" s="41"/>
      <c r="R237" s="41"/>
      <c r="S237" s="41"/>
      <c r="T237" s="39">
        <f>(F237+I237+J237)*25/100</f>
        <v>0</v>
      </c>
      <c r="U237" s="39">
        <f>(F237+I237+J237)*30/100</f>
        <v>0</v>
      </c>
      <c r="V237" s="41"/>
      <c r="W237" s="39"/>
      <c r="X237" s="39">
        <f>(F237+I237+J237+K237)*22.5/100</f>
        <v>0</v>
      </c>
      <c r="Y237" s="32">
        <f>E237*100000</f>
        <v>30000</v>
      </c>
      <c r="Z237" s="32">
        <f>Y237*6</f>
        <v>180000</v>
      </c>
    </row>
    <row r="238" spans="1:26" s="10" customFormat="1" ht="33.75" customHeight="1">
      <c r="A238" s="194" t="s">
        <v>247</v>
      </c>
      <c r="B238" s="47" t="s">
        <v>248</v>
      </c>
      <c r="C238" s="30">
        <f>C239+C246+C250+C255+C260+C264+C266+C270+C272+C275</f>
        <v>30</v>
      </c>
      <c r="D238" s="30">
        <f>D239+D246+D250+D255+D260+D264+D266+D270+D272+D275</f>
        <v>28</v>
      </c>
      <c r="E238" s="41">
        <f>E239+E246+E250+E255+E260+E264+E266+E270+E272+E275+E279</f>
        <v>138.534435</v>
      </c>
      <c r="F238" s="41">
        <f t="shared" ref="F238:Z238" si="97">F239+F246+F250+F255+F260+F264+F266+F270+F272+F275+F279</f>
        <v>84.05</v>
      </c>
      <c r="G238" s="41">
        <f t="shared" si="97"/>
        <v>38.932749999999999</v>
      </c>
      <c r="H238" s="41">
        <f t="shared" si="97"/>
        <v>0.3</v>
      </c>
      <c r="I238" s="41">
        <f t="shared" si="97"/>
        <v>3.8</v>
      </c>
      <c r="J238" s="41">
        <f t="shared" si="97"/>
        <v>0.34860000000000002</v>
      </c>
      <c r="K238" s="41">
        <f t="shared" si="97"/>
        <v>0</v>
      </c>
      <c r="L238" s="41">
        <f t="shared" si="97"/>
        <v>0.89999999999999991</v>
      </c>
      <c r="M238" s="41">
        <f t="shared" si="97"/>
        <v>0</v>
      </c>
      <c r="N238" s="41">
        <f t="shared" si="97"/>
        <v>0.6</v>
      </c>
      <c r="O238" s="41">
        <f t="shared" si="97"/>
        <v>0</v>
      </c>
      <c r="P238" s="41">
        <f t="shared" si="97"/>
        <v>0</v>
      </c>
      <c r="Q238" s="41">
        <f t="shared" si="97"/>
        <v>0</v>
      </c>
      <c r="R238" s="41">
        <f t="shared" si="97"/>
        <v>0</v>
      </c>
      <c r="S238" s="41">
        <f t="shared" si="97"/>
        <v>0</v>
      </c>
      <c r="T238" s="41">
        <f t="shared" si="97"/>
        <v>15.69215</v>
      </c>
      <c r="U238" s="41">
        <f t="shared" si="97"/>
        <v>17.141999999999999</v>
      </c>
      <c r="V238" s="41">
        <f t="shared" si="97"/>
        <v>0.15</v>
      </c>
      <c r="W238" s="41">
        <f t="shared" si="97"/>
        <v>0</v>
      </c>
      <c r="X238" s="41">
        <f t="shared" si="97"/>
        <v>15.551685000000001</v>
      </c>
      <c r="Y238" s="30">
        <f t="shared" si="97"/>
        <v>13853443.5</v>
      </c>
      <c r="Z238" s="30">
        <f t="shared" si="97"/>
        <v>83120661</v>
      </c>
    </row>
    <row r="239" spans="1:26" s="10" customFormat="1" ht="27.95" customHeight="1">
      <c r="A239" s="4" t="s">
        <v>2</v>
      </c>
      <c r="B239" s="59" t="s">
        <v>675</v>
      </c>
      <c r="C239" s="30">
        <v>5</v>
      </c>
      <c r="D239" s="30">
        <v>4</v>
      </c>
      <c r="E239" s="40">
        <f t="shared" ref="E239:Y239" si="98">SUM(E240:E245)</f>
        <v>22.777750000000005</v>
      </c>
      <c r="F239" s="63">
        <f t="shared" si="98"/>
        <v>11.86</v>
      </c>
      <c r="G239" s="63">
        <f t="shared" si="98"/>
        <v>8.1254999999999988</v>
      </c>
      <c r="H239" s="63">
        <f t="shared" si="98"/>
        <v>0</v>
      </c>
      <c r="I239" s="63">
        <f t="shared" si="98"/>
        <v>0.55000000000000004</v>
      </c>
      <c r="J239" s="63">
        <f t="shared" si="98"/>
        <v>0</v>
      </c>
      <c r="K239" s="63">
        <f t="shared" si="98"/>
        <v>0</v>
      </c>
      <c r="L239" s="63">
        <f t="shared" si="98"/>
        <v>0</v>
      </c>
      <c r="M239" s="63">
        <f t="shared" si="98"/>
        <v>0</v>
      </c>
      <c r="N239" s="63">
        <f t="shared" si="98"/>
        <v>0.6</v>
      </c>
      <c r="O239" s="63">
        <f t="shared" si="98"/>
        <v>0</v>
      </c>
      <c r="P239" s="63">
        <f t="shared" si="98"/>
        <v>0</v>
      </c>
      <c r="Q239" s="63">
        <f t="shared" si="98"/>
        <v>0</v>
      </c>
      <c r="R239" s="63">
        <f t="shared" si="98"/>
        <v>0</v>
      </c>
      <c r="S239" s="63">
        <f t="shared" si="98"/>
        <v>0</v>
      </c>
      <c r="T239" s="63">
        <f t="shared" si="98"/>
        <v>3.1025</v>
      </c>
      <c r="U239" s="63">
        <f t="shared" si="98"/>
        <v>3.7230000000000003</v>
      </c>
      <c r="V239" s="63">
        <f t="shared" si="98"/>
        <v>0.15</v>
      </c>
      <c r="W239" s="63">
        <f t="shared" si="98"/>
        <v>0</v>
      </c>
      <c r="X239" s="63">
        <f t="shared" si="98"/>
        <v>2.7922500000000001</v>
      </c>
      <c r="Y239" s="33">
        <f t="shared" si="98"/>
        <v>2277775</v>
      </c>
      <c r="Z239" s="33">
        <f>SUM(Z240:Z245)</f>
        <v>13666650</v>
      </c>
    </row>
    <row r="240" spans="1:26" s="10" customFormat="1" ht="27.95" customHeight="1">
      <c r="A240" s="205">
        <v>1</v>
      </c>
      <c r="B240" s="206" t="s">
        <v>224</v>
      </c>
      <c r="C240" s="32"/>
      <c r="D240" s="32"/>
      <c r="E240" s="37">
        <f t="shared" ref="E240:E245" si="99">+F240+G240+X240</f>
        <v>8.1650000000000009</v>
      </c>
      <c r="F240" s="363">
        <v>4.4000000000000004</v>
      </c>
      <c r="G240" s="353">
        <f t="shared" ref="G240:G245" si="100">+SUM(H240:W240)</f>
        <v>2.7300000000000004</v>
      </c>
      <c r="H240" s="39"/>
      <c r="I240" s="39">
        <v>0.2</v>
      </c>
      <c r="J240" s="39"/>
      <c r="K240" s="41"/>
      <c r="L240" s="41"/>
      <c r="M240" s="41"/>
      <c r="N240" s="41"/>
      <c r="O240" s="41"/>
      <c r="P240" s="41"/>
      <c r="Q240" s="41"/>
      <c r="R240" s="41"/>
      <c r="S240" s="41"/>
      <c r="T240" s="39">
        <f>(F240+I240+J240)*25/100</f>
        <v>1.1500000000000001</v>
      </c>
      <c r="U240" s="39">
        <f>(F240+I240+J240)*30/100</f>
        <v>1.3800000000000003</v>
      </c>
      <c r="V240" s="39"/>
      <c r="W240" s="41"/>
      <c r="X240" s="39">
        <f t="shared" ref="X240:X245" si="101">(F240+I240+J240+K240)*22.5/100</f>
        <v>1.0350000000000001</v>
      </c>
      <c r="Y240" s="32">
        <f t="shared" ref="Y240:Y245" si="102">E240*100000</f>
        <v>816500.00000000012</v>
      </c>
      <c r="Z240" s="32">
        <f t="shared" ref="Z240:Z245" si="103">Y240*6</f>
        <v>4899000.0000000009</v>
      </c>
    </row>
    <row r="241" spans="1:26" s="10" customFormat="1" ht="27.95" customHeight="1">
      <c r="A241" s="207">
        <v>2</v>
      </c>
      <c r="B241" s="69" t="s">
        <v>225</v>
      </c>
      <c r="C241" s="32"/>
      <c r="D241" s="32"/>
      <c r="E241" s="37">
        <f t="shared" si="99"/>
        <v>4.5084999999999997</v>
      </c>
      <c r="F241" s="364">
        <v>2.34</v>
      </c>
      <c r="G241" s="353">
        <f t="shared" si="100"/>
        <v>1.597</v>
      </c>
      <c r="H241" s="39"/>
      <c r="I241" s="39">
        <v>0.2</v>
      </c>
      <c r="J241" s="39"/>
      <c r="K241" s="41"/>
      <c r="L241" s="41"/>
      <c r="M241" s="41"/>
      <c r="N241" s="41"/>
      <c r="O241" s="41"/>
      <c r="P241" s="41"/>
      <c r="Q241" s="41"/>
      <c r="R241" s="41"/>
      <c r="S241" s="41"/>
      <c r="T241" s="39">
        <f>(F241+I241+J241)*25/100</f>
        <v>0.63500000000000001</v>
      </c>
      <c r="U241" s="39">
        <f>(F241+I241+J241)*30/100</f>
        <v>0.76200000000000001</v>
      </c>
      <c r="V241" s="41"/>
      <c r="W241" s="41"/>
      <c r="X241" s="39">
        <f t="shared" si="101"/>
        <v>0.57150000000000001</v>
      </c>
      <c r="Y241" s="32">
        <f t="shared" si="102"/>
        <v>450850</v>
      </c>
      <c r="Z241" s="32">
        <f t="shared" si="103"/>
        <v>2705100</v>
      </c>
    </row>
    <row r="242" spans="1:26" s="10" customFormat="1" ht="27.95" customHeight="1">
      <c r="A242" s="207">
        <v>3</v>
      </c>
      <c r="B242" s="69" t="s">
        <v>226</v>
      </c>
      <c r="C242" s="32"/>
      <c r="D242" s="32"/>
      <c r="E242" s="37">
        <f t="shared" si="99"/>
        <v>4.9877500000000001</v>
      </c>
      <c r="F242" s="364">
        <v>2.66</v>
      </c>
      <c r="G242" s="353">
        <f t="shared" si="100"/>
        <v>1.6955</v>
      </c>
      <c r="H242" s="39"/>
      <c r="I242" s="39">
        <v>0.15</v>
      </c>
      <c r="J242" s="39"/>
      <c r="K242" s="41"/>
      <c r="L242" s="41"/>
      <c r="M242" s="41"/>
      <c r="N242" s="41"/>
      <c r="O242" s="41"/>
      <c r="P242" s="41"/>
      <c r="Q242" s="41"/>
      <c r="R242" s="41"/>
      <c r="S242" s="41"/>
      <c r="T242" s="39">
        <f>(F242+I242+J242)*25/100</f>
        <v>0.70250000000000001</v>
      </c>
      <c r="U242" s="39">
        <f>(F242+I242+J242)*30/100</f>
        <v>0.84299999999999997</v>
      </c>
      <c r="V242" s="41"/>
      <c r="W242" s="41"/>
      <c r="X242" s="39">
        <f t="shared" si="101"/>
        <v>0.63224999999999998</v>
      </c>
      <c r="Y242" s="32">
        <f t="shared" si="102"/>
        <v>498775</v>
      </c>
      <c r="Z242" s="32">
        <f t="shared" si="103"/>
        <v>2992650</v>
      </c>
    </row>
    <row r="243" spans="1:26" s="10" customFormat="1" ht="27.95" customHeight="1">
      <c r="A243" s="205">
        <v>4</v>
      </c>
      <c r="B243" s="56" t="s">
        <v>760</v>
      </c>
      <c r="C243" s="32"/>
      <c r="D243" s="32"/>
      <c r="E243" s="37">
        <f t="shared" si="99"/>
        <v>0.3</v>
      </c>
      <c r="F243" s="364"/>
      <c r="G243" s="353">
        <f t="shared" si="100"/>
        <v>0.3</v>
      </c>
      <c r="H243" s="39"/>
      <c r="I243" s="39"/>
      <c r="J243" s="39"/>
      <c r="K243" s="41"/>
      <c r="L243" s="41"/>
      <c r="M243" s="41"/>
      <c r="N243" s="43">
        <v>0.3</v>
      </c>
      <c r="O243" s="41"/>
      <c r="P243" s="41"/>
      <c r="Q243" s="41"/>
      <c r="R243" s="41"/>
      <c r="S243" s="41"/>
      <c r="T243" s="39"/>
      <c r="U243" s="39"/>
      <c r="V243" s="41"/>
      <c r="W243" s="41"/>
      <c r="X243" s="39">
        <f t="shared" si="101"/>
        <v>0</v>
      </c>
      <c r="Y243" s="32">
        <f t="shared" si="102"/>
        <v>30000</v>
      </c>
      <c r="Z243" s="32">
        <f t="shared" si="103"/>
        <v>180000</v>
      </c>
    </row>
    <row r="244" spans="1:26" s="10" customFormat="1" ht="27.95" customHeight="1">
      <c r="A244" s="207">
        <v>5</v>
      </c>
      <c r="B244" s="206" t="s">
        <v>761</v>
      </c>
      <c r="C244" s="32"/>
      <c r="D244" s="32"/>
      <c r="E244" s="37">
        <f t="shared" si="99"/>
        <v>0.3</v>
      </c>
      <c r="F244" s="364"/>
      <c r="G244" s="353">
        <f t="shared" si="100"/>
        <v>0.3</v>
      </c>
      <c r="H244" s="39"/>
      <c r="I244" s="39"/>
      <c r="J244" s="39"/>
      <c r="K244" s="41"/>
      <c r="L244" s="41"/>
      <c r="M244" s="41"/>
      <c r="N244" s="43">
        <v>0.3</v>
      </c>
      <c r="O244" s="41"/>
      <c r="P244" s="41"/>
      <c r="Q244" s="41"/>
      <c r="R244" s="41"/>
      <c r="S244" s="41"/>
      <c r="T244" s="39"/>
      <c r="U244" s="39"/>
      <c r="V244" s="41"/>
      <c r="W244" s="41"/>
      <c r="X244" s="39">
        <f t="shared" si="101"/>
        <v>0</v>
      </c>
      <c r="Y244" s="32">
        <f t="shared" si="102"/>
        <v>30000</v>
      </c>
      <c r="Z244" s="32">
        <f t="shared" si="103"/>
        <v>180000</v>
      </c>
    </row>
    <row r="245" spans="1:26" s="10" customFormat="1" ht="27.95" customHeight="1">
      <c r="A245" s="207">
        <v>6</v>
      </c>
      <c r="B245" s="93" t="s">
        <v>227</v>
      </c>
      <c r="C245" s="32"/>
      <c r="D245" s="32"/>
      <c r="E245" s="37">
        <f t="shared" si="99"/>
        <v>4.5164999999999997</v>
      </c>
      <c r="F245" s="365">
        <v>2.46</v>
      </c>
      <c r="G245" s="353">
        <f t="shared" si="100"/>
        <v>1.5029999999999999</v>
      </c>
      <c r="H245" s="39"/>
      <c r="I245" s="39"/>
      <c r="J245" s="41"/>
      <c r="K245" s="41"/>
      <c r="L245" s="41"/>
      <c r="M245" s="41"/>
      <c r="N245" s="41"/>
      <c r="O245" s="41"/>
      <c r="P245" s="41"/>
      <c r="Q245" s="41"/>
      <c r="R245" s="41"/>
      <c r="S245" s="41"/>
      <c r="T245" s="39">
        <f>(F245+I245+J245)*25/100</f>
        <v>0.61499999999999999</v>
      </c>
      <c r="U245" s="39">
        <f>(F245+I245+J245)*30/100</f>
        <v>0.73799999999999999</v>
      </c>
      <c r="V245" s="39">
        <v>0.15</v>
      </c>
      <c r="W245" s="41"/>
      <c r="X245" s="39">
        <f t="shared" si="101"/>
        <v>0.55349999999999999</v>
      </c>
      <c r="Y245" s="32">
        <f t="shared" si="102"/>
        <v>451650</v>
      </c>
      <c r="Z245" s="32">
        <f t="shared" si="103"/>
        <v>2709900</v>
      </c>
    </row>
    <row r="246" spans="1:26" s="10" customFormat="1" ht="27.95" customHeight="1">
      <c r="A246" s="4" t="s">
        <v>3</v>
      </c>
      <c r="B246" s="59" t="s">
        <v>228</v>
      </c>
      <c r="C246" s="30">
        <v>4</v>
      </c>
      <c r="D246" s="30">
        <v>3</v>
      </c>
      <c r="E246" s="40">
        <f>SUM(E247:E249)</f>
        <v>15.336000000000002</v>
      </c>
      <c r="F246" s="63">
        <f t="shared" ref="F246:X246" si="104">SUM(F247:F249)</f>
        <v>7.99</v>
      </c>
      <c r="G246" s="63">
        <f t="shared" si="104"/>
        <v>5.402000000000001</v>
      </c>
      <c r="H246" s="63">
        <f t="shared" si="104"/>
        <v>0</v>
      </c>
      <c r="I246" s="63">
        <f t="shared" si="104"/>
        <v>0.65</v>
      </c>
      <c r="J246" s="63">
        <f t="shared" si="104"/>
        <v>0</v>
      </c>
      <c r="K246" s="63">
        <f t="shared" si="104"/>
        <v>0</v>
      </c>
      <c r="L246" s="63">
        <f t="shared" si="104"/>
        <v>0</v>
      </c>
      <c r="M246" s="63">
        <f t="shared" si="104"/>
        <v>0</v>
      </c>
      <c r="N246" s="63">
        <f t="shared" si="104"/>
        <v>0</v>
      </c>
      <c r="O246" s="63">
        <f t="shared" si="104"/>
        <v>0</v>
      </c>
      <c r="P246" s="63">
        <f t="shared" si="104"/>
        <v>0</v>
      </c>
      <c r="Q246" s="63">
        <f t="shared" si="104"/>
        <v>0</v>
      </c>
      <c r="R246" s="63">
        <f t="shared" si="104"/>
        <v>0</v>
      </c>
      <c r="S246" s="63">
        <f t="shared" si="104"/>
        <v>0</v>
      </c>
      <c r="T246" s="63">
        <f t="shared" si="104"/>
        <v>2.16</v>
      </c>
      <c r="U246" s="63">
        <f t="shared" si="104"/>
        <v>2.5920000000000001</v>
      </c>
      <c r="V246" s="63">
        <f t="shared" si="104"/>
        <v>0</v>
      </c>
      <c r="W246" s="63">
        <f t="shared" si="104"/>
        <v>0</v>
      </c>
      <c r="X246" s="63">
        <f t="shared" si="104"/>
        <v>1.944</v>
      </c>
      <c r="Y246" s="33">
        <f>SUM(Y247:Y249)</f>
        <v>1533600.0000000002</v>
      </c>
      <c r="Z246" s="33">
        <f>SUM(Z247:Z249)</f>
        <v>9201600.0000000019</v>
      </c>
    </row>
    <row r="247" spans="1:26" s="10" customFormat="1" ht="21.75" customHeight="1">
      <c r="A247" s="184">
        <v>1</v>
      </c>
      <c r="B247" s="68" t="s">
        <v>229</v>
      </c>
      <c r="C247" s="32"/>
      <c r="D247" s="32"/>
      <c r="E247" s="37">
        <f>+F247+G247+X247</f>
        <v>5.2539999999999996</v>
      </c>
      <c r="F247" s="366">
        <v>2.66</v>
      </c>
      <c r="G247" s="353">
        <f>+SUM(H247:W247)</f>
        <v>1.9279999999999999</v>
      </c>
      <c r="H247" s="39"/>
      <c r="I247" s="366">
        <v>0.3</v>
      </c>
      <c r="J247" s="41"/>
      <c r="K247" s="41"/>
      <c r="L247" s="41"/>
      <c r="M247" s="41"/>
      <c r="N247" s="41"/>
      <c r="O247" s="41"/>
      <c r="P247" s="41"/>
      <c r="Q247" s="41"/>
      <c r="R247" s="41"/>
      <c r="S247" s="41"/>
      <c r="T247" s="39">
        <f>(F247+I247+J247)*25/100</f>
        <v>0.74</v>
      </c>
      <c r="U247" s="39">
        <f>(F247+I247+J247)*30/100</f>
        <v>0.88800000000000001</v>
      </c>
      <c r="V247" s="41"/>
      <c r="W247" s="41"/>
      <c r="X247" s="39">
        <f>(F247+I247+J247+K247)*22.5/100</f>
        <v>0.66599999999999993</v>
      </c>
      <c r="Y247" s="32">
        <f>E247*100000</f>
        <v>525400</v>
      </c>
      <c r="Z247" s="32">
        <f>Y247*6</f>
        <v>3152400</v>
      </c>
    </row>
    <row r="248" spans="1:26" s="10" customFormat="1" ht="23.25" customHeight="1">
      <c r="A248" s="184">
        <v>2</v>
      </c>
      <c r="B248" s="68" t="s">
        <v>230</v>
      </c>
      <c r="C248" s="32"/>
      <c r="D248" s="32"/>
      <c r="E248" s="37">
        <f>+F248+G248+X248</f>
        <v>5.0765000000000011</v>
      </c>
      <c r="F248" s="366">
        <v>2.66</v>
      </c>
      <c r="G248" s="353">
        <f>+SUM(H248:W248)</f>
        <v>1.7730000000000004</v>
      </c>
      <c r="H248" s="39"/>
      <c r="I248" s="366">
        <v>0.2</v>
      </c>
      <c r="J248" s="41"/>
      <c r="K248" s="41"/>
      <c r="L248" s="41"/>
      <c r="M248" s="41"/>
      <c r="N248" s="41"/>
      <c r="O248" s="41"/>
      <c r="P248" s="41"/>
      <c r="Q248" s="41"/>
      <c r="R248" s="41"/>
      <c r="S248" s="41"/>
      <c r="T248" s="39">
        <f>(F248+I248+J248)*25/100</f>
        <v>0.71500000000000019</v>
      </c>
      <c r="U248" s="39">
        <f>(F248+I248+J248)*30/100</f>
        <v>0.8580000000000001</v>
      </c>
      <c r="V248" s="41">
        <v>0</v>
      </c>
      <c r="W248" s="41"/>
      <c r="X248" s="39">
        <f>(F248+I248+J248+K248)*22.5/100</f>
        <v>0.64350000000000007</v>
      </c>
      <c r="Y248" s="32">
        <f>E248*100000</f>
        <v>507650.00000000012</v>
      </c>
      <c r="Z248" s="32">
        <f>Y248*6</f>
        <v>3045900.0000000009</v>
      </c>
    </row>
    <row r="249" spans="1:26" s="10" customFormat="1" ht="23.25" customHeight="1">
      <c r="A249" s="184">
        <v>3</v>
      </c>
      <c r="B249" s="68" t="s">
        <v>231</v>
      </c>
      <c r="C249" s="32"/>
      <c r="D249" s="32"/>
      <c r="E249" s="37">
        <f>+F249+G249+X249</f>
        <v>5.0055000000000005</v>
      </c>
      <c r="F249" s="366">
        <v>2.67</v>
      </c>
      <c r="G249" s="353">
        <f>+SUM(H249:W249)</f>
        <v>1.7010000000000001</v>
      </c>
      <c r="H249" s="39"/>
      <c r="I249" s="366">
        <v>0.15</v>
      </c>
      <c r="J249" s="41"/>
      <c r="K249" s="41"/>
      <c r="L249" s="41"/>
      <c r="M249" s="41"/>
      <c r="N249" s="41"/>
      <c r="O249" s="41"/>
      <c r="P249" s="41"/>
      <c r="Q249" s="41"/>
      <c r="R249" s="41"/>
      <c r="S249" s="41"/>
      <c r="T249" s="39">
        <f>(F249+I249+J249)*25/100</f>
        <v>0.70499999999999996</v>
      </c>
      <c r="U249" s="39">
        <f>(F249+I249+J249)*30/100</f>
        <v>0.84599999999999997</v>
      </c>
      <c r="V249" s="41"/>
      <c r="W249" s="41"/>
      <c r="X249" s="39">
        <f>(F249+I249+J249+K249)*22.5/100</f>
        <v>0.63449999999999995</v>
      </c>
      <c r="Y249" s="32">
        <f>E249*100000</f>
        <v>500550.00000000006</v>
      </c>
      <c r="Z249" s="32">
        <f>Y249*6</f>
        <v>3003300.0000000005</v>
      </c>
    </row>
    <row r="250" spans="1:26" s="10" customFormat="1" ht="27.95" customHeight="1">
      <c r="A250" s="4" t="s">
        <v>4</v>
      </c>
      <c r="B250" s="59" t="s">
        <v>232</v>
      </c>
      <c r="C250" s="30">
        <v>4</v>
      </c>
      <c r="D250" s="30">
        <v>4</v>
      </c>
      <c r="E250" s="40">
        <f>SUM(E251:E254)</f>
        <v>23.607500000000002</v>
      </c>
      <c r="F250" s="63">
        <f t="shared" ref="F250:Z250" si="105">SUM(F251:F254)</f>
        <v>12.65</v>
      </c>
      <c r="G250" s="63">
        <f t="shared" si="105"/>
        <v>7.9650000000000007</v>
      </c>
      <c r="H250" s="63">
        <f t="shared" si="105"/>
        <v>0</v>
      </c>
      <c r="I250" s="63">
        <f t="shared" si="105"/>
        <v>0.65</v>
      </c>
      <c r="J250" s="63">
        <f t="shared" si="105"/>
        <v>0</v>
      </c>
      <c r="K250" s="63">
        <f t="shared" si="105"/>
        <v>0</v>
      </c>
      <c r="L250" s="63">
        <f t="shared" si="105"/>
        <v>0</v>
      </c>
      <c r="M250" s="63">
        <f t="shared" si="105"/>
        <v>0</v>
      </c>
      <c r="N250" s="63">
        <f t="shared" si="105"/>
        <v>0</v>
      </c>
      <c r="O250" s="63">
        <f t="shared" si="105"/>
        <v>0</v>
      </c>
      <c r="P250" s="63">
        <f t="shared" si="105"/>
        <v>0</v>
      </c>
      <c r="Q250" s="63">
        <f t="shared" si="105"/>
        <v>0</v>
      </c>
      <c r="R250" s="63">
        <f t="shared" si="105"/>
        <v>0</v>
      </c>
      <c r="S250" s="63">
        <f t="shared" si="105"/>
        <v>0</v>
      </c>
      <c r="T250" s="63">
        <f t="shared" si="105"/>
        <v>3.3250000000000002</v>
      </c>
      <c r="U250" s="63">
        <f t="shared" si="105"/>
        <v>3.99</v>
      </c>
      <c r="V250" s="63">
        <f t="shared" si="105"/>
        <v>0</v>
      </c>
      <c r="W250" s="63">
        <f t="shared" si="105"/>
        <v>0</v>
      </c>
      <c r="X250" s="63">
        <f t="shared" si="105"/>
        <v>2.9925000000000002</v>
      </c>
      <c r="Y250" s="33">
        <f t="shared" si="105"/>
        <v>2360750</v>
      </c>
      <c r="Z250" s="33">
        <f t="shared" si="105"/>
        <v>14164500</v>
      </c>
    </row>
    <row r="251" spans="1:26" s="10" customFormat="1" ht="27.95" customHeight="1">
      <c r="A251" s="184">
        <v>1</v>
      </c>
      <c r="B251" s="69" t="s">
        <v>233</v>
      </c>
      <c r="C251" s="32"/>
      <c r="D251" s="32"/>
      <c r="E251" s="37">
        <f>+F251+G251+X251</f>
        <v>6.4432499999999999</v>
      </c>
      <c r="F251" s="366">
        <v>3.33</v>
      </c>
      <c r="G251" s="353">
        <f>+SUM(H251:W251)</f>
        <v>2.2965</v>
      </c>
      <c r="H251" s="39"/>
      <c r="I251" s="366">
        <v>0.3</v>
      </c>
      <c r="J251" s="41"/>
      <c r="K251" s="41"/>
      <c r="L251" s="41"/>
      <c r="M251" s="41"/>
      <c r="N251" s="41"/>
      <c r="O251" s="41"/>
      <c r="P251" s="41"/>
      <c r="Q251" s="41"/>
      <c r="R251" s="41"/>
      <c r="S251" s="41"/>
      <c r="T251" s="39">
        <f>(F251+I251+J251)*25/100</f>
        <v>0.90749999999999997</v>
      </c>
      <c r="U251" s="39">
        <f>(F251+I251+J251)*30/100</f>
        <v>1.089</v>
      </c>
      <c r="V251" s="41"/>
      <c r="W251" s="41"/>
      <c r="X251" s="39">
        <f>(F251+I251+J251+K251)*22.5/100</f>
        <v>0.81674999999999998</v>
      </c>
      <c r="Y251" s="32">
        <f>E251*100000</f>
        <v>644325</v>
      </c>
      <c r="Z251" s="32">
        <f>Y251*6</f>
        <v>3865950</v>
      </c>
    </row>
    <row r="252" spans="1:26" s="10" customFormat="1" ht="27.95" customHeight="1">
      <c r="A252" s="184">
        <v>2</v>
      </c>
      <c r="B252" s="93" t="s">
        <v>234</v>
      </c>
      <c r="C252" s="32"/>
      <c r="D252" s="32"/>
      <c r="E252" s="37">
        <f>+F252+G252+X252</f>
        <v>6.2657500000000006</v>
      </c>
      <c r="F252" s="366">
        <v>3.33</v>
      </c>
      <c r="G252" s="353">
        <f>+SUM(H252:W252)</f>
        <v>2.1415000000000002</v>
      </c>
      <c r="H252" s="39"/>
      <c r="I252" s="366">
        <v>0.2</v>
      </c>
      <c r="J252" s="41"/>
      <c r="K252" s="41"/>
      <c r="L252" s="41"/>
      <c r="M252" s="41"/>
      <c r="N252" s="41"/>
      <c r="O252" s="41"/>
      <c r="P252" s="41"/>
      <c r="Q252" s="41"/>
      <c r="R252" s="41"/>
      <c r="S252" s="41"/>
      <c r="T252" s="39">
        <f>(F252+I252+J252)*25/100</f>
        <v>0.88249999999999995</v>
      </c>
      <c r="U252" s="39">
        <f>(F252+I252+J252)*30/100</f>
        <v>1.0590000000000002</v>
      </c>
      <c r="V252" s="41"/>
      <c r="W252" s="41"/>
      <c r="X252" s="39">
        <f>(F252+I252+J252+K252)*22.5/100</f>
        <v>0.79425000000000012</v>
      </c>
      <c r="Y252" s="32">
        <f>E252*100000</f>
        <v>626575.00000000012</v>
      </c>
      <c r="Z252" s="32">
        <f>Y252*6</f>
        <v>3759450.0000000009</v>
      </c>
    </row>
    <row r="253" spans="1:26" s="10" customFormat="1" ht="27.95" customHeight="1">
      <c r="A253" s="184">
        <v>3</v>
      </c>
      <c r="B253" s="69" t="s">
        <v>235</v>
      </c>
      <c r="C253" s="32"/>
      <c r="D253" s="32"/>
      <c r="E253" s="37">
        <f>+F253+G253+X253</f>
        <v>6.1769999999999996</v>
      </c>
      <c r="F253" s="366">
        <v>3.33</v>
      </c>
      <c r="G253" s="353">
        <f>+SUM(H253:W253)</f>
        <v>2.0640000000000001</v>
      </c>
      <c r="H253" s="39"/>
      <c r="I253" s="366">
        <v>0.15</v>
      </c>
      <c r="J253" s="41"/>
      <c r="K253" s="41"/>
      <c r="L253" s="41"/>
      <c r="M253" s="41"/>
      <c r="N253" s="41"/>
      <c r="O253" s="41"/>
      <c r="P253" s="41"/>
      <c r="Q253" s="41"/>
      <c r="R253" s="41"/>
      <c r="S253" s="41"/>
      <c r="T253" s="39">
        <f>(F253+I253+J253)*25/100</f>
        <v>0.87</v>
      </c>
      <c r="U253" s="39">
        <f>(F253+I253+J253)*30/100</f>
        <v>1.044</v>
      </c>
      <c r="V253" s="41"/>
      <c r="W253" s="41"/>
      <c r="X253" s="39">
        <f>(F253+I253+J253+K253)*22.5/100</f>
        <v>0.78299999999999992</v>
      </c>
      <c r="Y253" s="32">
        <f>E253*100000</f>
        <v>617700</v>
      </c>
      <c r="Z253" s="32">
        <f>Y253*6</f>
        <v>3706200</v>
      </c>
    </row>
    <row r="254" spans="1:26" s="10" customFormat="1" ht="27.95" customHeight="1">
      <c r="A254" s="184">
        <v>4</v>
      </c>
      <c r="B254" s="69" t="s">
        <v>236</v>
      </c>
      <c r="C254" s="32"/>
      <c r="D254" s="32"/>
      <c r="E254" s="37">
        <f>+F254+G254+X254</f>
        <v>4.7215000000000007</v>
      </c>
      <c r="F254" s="366">
        <v>2.66</v>
      </c>
      <c r="G254" s="353">
        <f>+SUM(H254:W254)</f>
        <v>1.4630000000000001</v>
      </c>
      <c r="H254" s="39"/>
      <c r="I254" s="39"/>
      <c r="J254" s="41"/>
      <c r="K254" s="41"/>
      <c r="L254" s="41"/>
      <c r="M254" s="41"/>
      <c r="N254" s="41"/>
      <c r="O254" s="41"/>
      <c r="P254" s="41"/>
      <c r="Q254" s="41"/>
      <c r="R254" s="41"/>
      <c r="S254" s="41"/>
      <c r="T254" s="39">
        <f>(F254+I254+J254)*25/100</f>
        <v>0.66500000000000004</v>
      </c>
      <c r="U254" s="39">
        <f>(F254+I254+J254)*30/100</f>
        <v>0.79800000000000015</v>
      </c>
      <c r="V254" s="41"/>
      <c r="W254" s="41"/>
      <c r="X254" s="39">
        <f>(F254+I254+J254+K254)*22.5/100</f>
        <v>0.59850000000000003</v>
      </c>
      <c r="Y254" s="32">
        <f>E254*100000</f>
        <v>472150.00000000006</v>
      </c>
      <c r="Z254" s="32">
        <f>Y254*6</f>
        <v>2832900.0000000005</v>
      </c>
    </row>
    <row r="255" spans="1:26" s="10" customFormat="1" ht="27.95" customHeight="1">
      <c r="A255" s="4" t="s">
        <v>59</v>
      </c>
      <c r="B255" s="59" t="s">
        <v>237</v>
      </c>
      <c r="C255" s="30">
        <v>4</v>
      </c>
      <c r="D255" s="30">
        <v>4</v>
      </c>
      <c r="E255" s="40">
        <f>SUM(E256:E259)</f>
        <v>23.003999999999998</v>
      </c>
      <c r="F255" s="367">
        <f t="shared" ref="F255:Z255" si="106">SUM(F256:F259)</f>
        <v>12.31</v>
      </c>
      <c r="G255" s="63">
        <f t="shared" si="106"/>
        <v>7.7780000000000005</v>
      </c>
      <c r="H255" s="63">
        <f t="shared" si="106"/>
        <v>0</v>
      </c>
      <c r="I255" s="63">
        <f t="shared" si="106"/>
        <v>0.65</v>
      </c>
      <c r="J255" s="63">
        <f t="shared" si="106"/>
        <v>0</v>
      </c>
      <c r="K255" s="63">
        <f t="shared" si="106"/>
        <v>0</v>
      </c>
      <c r="L255" s="63">
        <f t="shared" si="106"/>
        <v>0</v>
      </c>
      <c r="M255" s="63">
        <f t="shared" si="106"/>
        <v>0</v>
      </c>
      <c r="N255" s="63">
        <f t="shared" si="106"/>
        <v>0</v>
      </c>
      <c r="O255" s="63">
        <f t="shared" si="106"/>
        <v>0</v>
      </c>
      <c r="P255" s="63">
        <f t="shared" si="106"/>
        <v>0</v>
      </c>
      <c r="Q255" s="63">
        <f t="shared" si="106"/>
        <v>0</v>
      </c>
      <c r="R255" s="63">
        <f t="shared" si="106"/>
        <v>0</v>
      </c>
      <c r="S255" s="63">
        <f t="shared" si="106"/>
        <v>0</v>
      </c>
      <c r="T255" s="63">
        <f t="shared" si="106"/>
        <v>3.24</v>
      </c>
      <c r="U255" s="63">
        <f t="shared" si="106"/>
        <v>3.8879999999999999</v>
      </c>
      <c r="V255" s="63">
        <f t="shared" si="106"/>
        <v>0</v>
      </c>
      <c r="W255" s="63">
        <f t="shared" si="106"/>
        <v>0</v>
      </c>
      <c r="X255" s="63">
        <f t="shared" si="106"/>
        <v>2.9159999999999999</v>
      </c>
      <c r="Y255" s="33">
        <f t="shared" si="106"/>
        <v>2300400</v>
      </c>
      <c r="Z255" s="33">
        <f t="shared" si="106"/>
        <v>13802400</v>
      </c>
    </row>
    <row r="256" spans="1:26" s="10" customFormat="1" ht="27.95" customHeight="1">
      <c r="A256" s="184">
        <v>1</v>
      </c>
      <c r="B256" s="56" t="s">
        <v>238</v>
      </c>
      <c r="C256" s="42"/>
      <c r="D256" s="42"/>
      <c r="E256" s="37">
        <f>+F256+G256+X256</f>
        <v>7.0289999999999999</v>
      </c>
      <c r="F256" s="358">
        <v>3.66</v>
      </c>
      <c r="G256" s="353">
        <f>+SUM(H256:W256)</f>
        <v>2.4779999999999998</v>
      </c>
      <c r="H256" s="39"/>
      <c r="I256" s="368">
        <v>0.3</v>
      </c>
      <c r="J256" s="41"/>
      <c r="K256" s="41"/>
      <c r="L256" s="41"/>
      <c r="M256" s="41"/>
      <c r="N256" s="41"/>
      <c r="O256" s="41"/>
      <c r="P256" s="41"/>
      <c r="Q256" s="41"/>
      <c r="R256" s="41"/>
      <c r="S256" s="41"/>
      <c r="T256" s="39">
        <f>(F256+I256+J256)*25/100</f>
        <v>0.99</v>
      </c>
      <c r="U256" s="39">
        <f>(F256+I256+J256)*30/100</f>
        <v>1.1879999999999999</v>
      </c>
      <c r="V256" s="41"/>
      <c r="W256" s="41"/>
      <c r="X256" s="39">
        <f>(F256+I256+J256+K256)*22.5/100</f>
        <v>0.8909999999999999</v>
      </c>
      <c r="Y256" s="32">
        <f>E256*100000</f>
        <v>702900</v>
      </c>
      <c r="Z256" s="32">
        <f>Y256*6</f>
        <v>4217400</v>
      </c>
    </row>
    <row r="257" spans="1:26" s="10" customFormat="1" ht="27.95" customHeight="1">
      <c r="A257" s="184">
        <v>2</v>
      </c>
      <c r="B257" s="208" t="s">
        <v>239</v>
      </c>
      <c r="C257" s="42"/>
      <c r="D257" s="42"/>
      <c r="E257" s="37">
        <f>+F257+G257+X257</f>
        <v>6.2657500000000006</v>
      </c>
      <c r="F257" s="369">
        <v>3.33</v>
      </c>
      <c r="G257" s="353">
        <f>+SUM(H257:W257)</f>
        <v>2.1415000000000002</v>
      </c>
      <c r="H257" s="39"/>
      <c r="I257" s="368">
        <v>0.2</v>
      </c>
      <c r="J257" s="41"/>
      <c r="K257" s="41"/>
      <c r="L257" s="41"/>
      <c r="M257" s="41"/>
      <c r="N257" s="41"/>
      <c r="O257" s="41"/>
      <c r="P257" s="41"/>
      <c r="Q257" s="41"/>
      <c r="R257" s="41"/>
      <c r="S257" s="41"/>
      <c r="T257" s="39">
        <f>(F257+I257+J257)*25/100</f>
        <v>0.88249999999999995</v>
      </c>
      <c r="U257" s="39">
        <f>(F257+I257+J257)*30/100</f>
        <v>1.0590000000000002</v>
      </c>
      <c r="V257" s="41"/>
      <c r="W257" s="41"/>
      <c r="X257" s="39">
        <f>(F257+I257+J257+K257)*22.5/100</f>
        <v>0.79425000000000012</v>
      </c>
      <c r="Y257" s="32">
        <f>E257*100000</f>
        <v>626575.00000000012</v>
      </c>
      <c r="Z257" s="32">
        <f>Y257*6</f>
        <v>3759450.0000000009</v>
      </c>
    </row>
    <row r="258" spans="1:26" s="10" customFormat="1" ht="27.95" customHeight="1">
      <c r="A258" s="184">
        <v>3</v>
      </c>
      <c r="B258" s="209" t="s">
        <v>240</v>
      </c>
      <c r="C258" s="42"/>
      <c r="D258" s="42"/>
      <c r="E258" s="37">
        <f>+F258+G258+X258</f>
        <v>4.9877500000000001</v>
      </c>
      <c r="F258" s="366">
        <v>2.66</v>
      </c>
      <c r="G258" s="353">
        <f>+SUM(H258:W258)</f>
        <v>1.6955</v>
      </c>
      <c r="H258" s="39"/>
      <c r="I258" s="368">
        <v>0.15</v>
      </c>
      <c r="J258" s="41"/>
      <c r="K258" s="41"/>
      <c r="L258" s="41"/>
      <c r="M258" s="41"/>
      <c r="N258" s="41"/>
      <c r="O258" s="41"/>
      <c r="P258" s="41"/>
      <c r="Q258" s="41"/>
      <c r="R258" s="41"/>
      <c r="S258" s="41"/>
      <c r="T258" s="39">
        <f>(F258+I258+J258)*25/100</f>
        <v>0.70250000000000001</v>
      </c>
      <c r="U258" s="39">
        <f>(F258+I258+J258)*30/100</f>
        <v>0.84299999999999997</v>
      </c>
      <c r="V258" s="41"/>
      <c r="W258" s="41"/>
      <c r="X258" s="39">
        <f>(F258+I258+J258+K258)*22.5/100</f>
        <v>0.63224999999999998</v>
      </c>
      <c r="Y258" s="32">
        <f>E258*100000</f>
        <v>498775</v>
      </c>
      <c r="Z258" s="32">
        <f>Y258*6</f>
        <v>2992650</v>
      </c>
    </row>
    <row r="259" spans="1:26" s="10" customFormat="1" ht="27.95" customHeight="1">
      <c r="A259" s="184">
        <v>4</v>
      </c>
      <c r="B259" s="14" t="s">
        <v>241</v>
      </c>
      <c r="C259" s="42"/>
      <c r="D259" s="42"/>
      <c r="E259" s="37">
        <f>+F259+G259+X259</f>
        <v>4.7215000000000007</v>
      </c>
      <c r="F259" s="370">
        <v>2.66</v>
      </c>
      <c r="G259" s="353">
        <f>+SUM(H259:W259)</f>
        <v>1.4630000000000001</v>
      </c>
      <c r="H259" s="39"/>
      <c r="I259" s="368"/>
      <c r="J259" s="41"/>
      <c r="K259" s="41"/>
      <c r="L259" s="41"/>
      <c r="M259" s="41"/>
      <c r="N259" s="41"/>
      <c r="O259" s="41"/>
      <c r="P259" s="41"/>
      <c r="Q259" s="41"/>
      <c r="R259" s="41"/>
      <c r="S259" s="41"/>
      <c r="T259" s="39">
        <f>(F259+I259+J259)*25/100</f>
        <v>0.66500000000000004</v>
      </c>
      <c r="U259" s="39">
        <f>(F259+I259+J259)*30/100</f>
        <v>0.79800000000000015</v>
      </c>
      <c r="V259" s="41"/>
      <c r="W259" s="41"/>
      <c r="X259" s="39">
        <f>(F259+I259+J259+K259)*22.5/100</f>
        <v>0.59850000000000003</v>
      </c>
      <c r="Y259" s="32">
        <f>E259*100000</f>
        <v>472150.00000000006</v>
      </c>
      <c r="Z259" s="32">
        <f>Y259*6</f>
        <v>2832900.0000000005</v>
      </c>
    </row>
    <row r="260" spans="1:26" s="10" customFormat="1" ht="27.95" customHeight="1">
      <c r="A260" s="4" t="s">
        <v>65</v>
      </c>
      <c r="B260" s="59" t="s">
        <v>242</v>
      </c>
      <c r="C260" s="30">
        <v>3</v>
      </c>
      <c r="D260" s="30">
        <v>3</v>
      </c>
      <c r="E260" s="40">
        <f>SUM(E261:E263)</f>
        <v>15.9115</v>
      </c>
      <c r="F260" s="63">
        <f t="shared" ref="F260:Z260" si="107">SUM(F261:F263)</f>
        <v>9.33</v>
      </c>
      <c r="G260" s="63">
        <f t="shared" si="107"/>
        <v>5.9064999999999994</v>
      </c>
      <c r="H260" s="63">
        <f t="shared" si="107"/>
        <v>0</v>
      </c>
      <c r="I260" s="63">
        <f t="shared" si="107"/>
        <v>0.5</v>
      </c>
      <c r="J260" s="63">
        <f t="shared" si="107"/>
        <v>0</v>
      </c>
      <c r="K260" s="63">
        <f t="shared" si="107"/>
        <v>0</v>
      </c>
      <c r="L260" s="63">
        <f t="shared" si="107"/>
        <v>0</v>
      </c>
      <c r="M260" s="63">
        <f t="shared" si="107"/>
        <v>0</v>
      </c>
      <c r="N260" s="63">
        <f t="shared" si="107"/>
        <v>0</v>
      </c>
      <c r="O260" s="63">
        <f t="shared" si="107"/>
        <v>0</v>
      </c>
      <c r="P260" s="63">
        <f t="shared" si="107"/>
        <v>0</v>
      </c>
      <c r="Q260" s="63">
        <f t="shared" si="107"/>
        <v>0</v>
      </c>
      <c r="R260" s="63">
        <f t="shared" si="107"/>
        <v>0</v>
      </c>
      <c r="S260" s="63">
        <f t="shared" si="107"/>
        <v>0</v>
      </c>
      <c r="T260" s="63">
        <f t="shared" si="107"/>
        <v>2.4575</v>
      </c>
      <c r="U260" s="63">
        <f t="shared" si="107"/>
        <v>2.9489999999999998</v>
      </c>
      <c r="V260" s="63">
        <f t="shared" si="107"/>
        <v>0</v>
      </c>
      <c r="W260" s="63">
        <f t="shared" si="107"/>
        <v>0</v>
      </c>
      <c r="X260" s="63">
        <f t="shared" si="107"/>
        <v>0.67500000000000004</v>
      </c>
      <c r="Y260" s="33">
        <f t="shared" si="107"/>
        <v>1591150</v>
      </c>
      <c r="Z260" s="33">
        <f t="shared" si="107"/>
        <v>9546900</v>
      </c>
    </row>
    <row r="261" spans="1:26" s="10" customFormat="1" ht="27.95" customHeight="1">
      <c r="A261" s="184">
        <v>1</v>
      </c>
      <c r="B261" s="69" t="s">
        <v>243</v>
      </c>
      <c r="C261" s="32"/>
      <c r="D261" s="32"/>
      <c r="E261" s="37">
        <f>+F261+G261+X261</f>
        <v>4.96</v>
      </c>
      <c r="F261" s="366">
        <v>3</v>
      </c>
      <c r="G261" s="353">
        <f>+SUM(H261:W261)</f>
        <v>1.96</v>
      </c>
      <c r="H261" s="39"/>
      <c r="I261" s="39">
        <v>0.2</v>
      </c>
      <c r="J261" s="41"/>
      <c r="K261" s="41"/>
      <c r="L261" s="41"/>
      <c r="M261" s="41"/>
      <c r="N261" s="41"/>
      <c r="O261" s="41"/>
      <c r="P261" s="41"/>
      <c r="Q261" s="41"/>
      <c r="R261" s="41"/>
      <c r="S261" s="41"/>
      <c r="T261" s="39">
        <f>(F261+I261+J261)*25/100</f>
        <v>0.8</v>
      </c>
      <c r="U261" s="39">
        <f>(F261+I261+J261)*30/100</f>
        <v>0.96</v>
      </c>
      <c r="V261" s="41"/>
      <c r="W261" s="41"/>
      <c r="X261" s="39"/>
      <c r="Y261" s="32">
        <f>E261*100000</f>
        <v>496000</v>
      </c>
      <c r="Z261" s="32">
        <f>Y261*6</f>
        <v>2976000</v>
      </c>
    </row>
    <row r="262" spans="1:26" s="10" customFormat="1" ht="27.95" customHeight="1">
      <c r="A262" s="184">
        <v>2</v>
      </c>
      <c r="B262" s="69" t="s">
        <v>676</v>
      </c>
      <c r="C262" s="32"/>
      <c r="D262" s="32"/>
      <c r="E262" s="37">
        <f>+F262+G262+X262</f>
        <v>5.6265000000000001</v>
      </c>
      <c r="F262" s="366">
        <v>3.33</v>
      </c>
      <c r="G262" s="353">
        <f>+SUM(H262:W262)</f>
        <v>2.2965</v>
      </c>
      <c r="H262" s="39"/>
      <c r="I262" s="39">
        <v>0.3</v>
      </c>
      <c r="J262" s="41"/>
      <c r="K262" s="41"/>
      <c r="L262" s="41"/>
      <c r="M262" s="41"/>
      <c r="N262" s="41"/>
      <c r="O262" s="41"/>
      <c r="P262" s="41"/>
      <c r="Q262" s="41"/>
      <c r="R262" s="41"/>
      <c r="S262" s="41"/>
      <c r="T262" s="39">
        <f>(F262+I262+J262)*25/100</f>
        <v>0.90749999999999997</v>
      </c>
      <c r="U262" s="39">
        <f>(F262+I262+J262)*30/100</f>
        <v>1.089</v>
      </c>
      <c r="V262" s="41"/>
      <c r="W262" s="41"/>
      <c r="X262" s="39"/>
      <c r="Y262" s="32">
        <f>E262*100000</f>
        <v>562650</v>
      </c>
      <c r="Z262" s="32">
        <f>Y262*6</f>
        <v>3375900</v>
      </c>
    </row>
    <row r="263" spans="1:26" s="10" customFormat="1" ht="27.95" customHeight="1">
      <c r="A263" s="184">
        <v>3</v>
      </c>
      <c r="B263" s="69" t="s">
        <v>244</v>
      </c>
      <c r="C263" s="32"/>
      <c r="D263" s="32"/>
      <c r="E263" s="37">
        <f>+F263+G263+X263</f>
        <v>5.3250000000000002</v>
      </c>
      <c r="F263" s="366">
        <v>3</v>
      </c>
      <c r="G263" s="353">
        <f>+SUM(H263:W263)</f>
        <v>1.65</v>
      </c>
      <c r="H263" s="39"/>
      <c r="I263" s="39"/>
      <c r="J263" s="41"/>
      <c r="K263" s="41"/>
      <c r="L263" s="41"/>
      <c r="M263" s="41"/>
      <c r="N263" s="41"/>
      <c r="O263" s="41"/>
      <c r="P263" s="41"/>
      <c r="Q263" s="41"/>
      <c r="R263" s="41"/>
      <c r="S263" s="41"/>
      <c r="T263" s="39">
        <f>(F263+I263+J263)*25/100</f>
        <v>0.75</v>
      </c>
      <c r="U263" s="39">
        <f>(F263+I263+J263)*30/100</f>
        <v>0.9</v>
      </c>
      <c r="V263" s="41"/>
      <c r="W263" s="41"/>
      <c r="X263" s="39">
        <f>(F263+I263+J263+K263)*22.5/100</f>
        <v>0.67500000000000004</v>
      </c>
      <c r="Y263" s="32">
        <f>E263*100000</f>
        <v>532500</v>
      </c>
      <c r="Z263" s="32">
        <f>Y263*6</f>
        <v>3195000</v>
      </c>
    </row>
    <row r="264" spans="1:26" s="10" customFormat="1" ht="27.95" customHeight="1">
      <c r="A264" s="4" t="s">
        <v>79</v>
      </c>
      <c r="B264" s="210" t="s">
        <v>677</v>
      </c>
      <c r="C264" s="30">
        <v>1</v>
      </c>
      <c r="D264" s="30">
        <v>1</v>
      </c>
      <c r="E264" s="40">
        <f>E265</f>
        <v>3.2</v>
      </c>
      <c r="F264" s="63">
        <f t="shared" ref="F264:Z264" si="108">F265</f>
        <v>3.2</v>
      </c>
      <c r="G264" s="63">
        <f t="shared" si="108"/>
        <v>0</v>
      </c>
      <c r="H264" s="63">
        <f t="shared" si="108"/>
        <v>0</v>
      </c>
      <c r="I264" s="63">
        <f t="shared" si="108"/>
        <v>0</v>
      </c>
      <c r="J264" s="63">
        <f t="shared" si="108"/>
        <v>0</v>
      </c>
      <c r="K264" s="63">
        <f t="shared" si="108"/>
        <v>0</v>
      </c>
      <c r="L264" s="63">
        <f t="shared" si="108"/>
        <v>0</v>
      </c>
      <c r="M264" s="63">
        <f t="shared" si="108"/>
        <v>0</v>
      </c>
      <c r="N264" s="63">
        <f t="shared" si="108"/>
        <v>0</v>
      </c>
      <c r="O264" s="63">
        <f t="shared" si="108"/>
        <v>0</v>
      </c>
      <c r="P264" s="63">
        <f t="shared" si="108"/>
        <v>0</v>
      </c>
      <c r="Q264" s="63">
        <f t="shared" si="108"/>
        <v>0</v>
      </c>
      <c r="R264" s="63">
        <f t="shared" si="108"/>
        <v>0</v>
      </c>
      <c r="S264" s="63">
        <f t="shared" si="108"/>
        <v>0</v>
      </c>
      <c r="T264" s="63">
        <f t="shared" si="108"/>
        <v>0</v>
      </c>
      <c r="U264" s="63">
        <f t="shared" si="108"/>
        <v>0</v>
      </c>
      <c r="V264" s="63">
        <f t="shared" si="108"/>
        <v>0</v>
      </c>
      <c r="W264" s="63">
        <f t="shared" si="108"/>
        <v>0</v>
      </c>
      <c r="X264" s="63">
        <f t="shared" si="108"/>
        <v>0</v>
      </c>
      <c r="Y264" s="33">
        <f t="shared" si="108"/>
        <v>320000</v>
      </c>
      <c r="Z264" s="33">
        <f t="shared" si="108"/>
        <v>1920000</v>
      </c>
    </row>
    <row r="265" spans="1:26" s="10" customFormat="1" ht="27.95" customHeight="1">
      <c r="A265" s="184">
        <v>1</v>
      </c>
      <c r="B265" s="69" t="s">
        <v>678</v>
      </c>
      <c r="C265" s="32"/>
      <c r="D265" s="32"/>
      <c r="E265" s="37">
        <f>+F265+G265+X265</f>
        <v>3.2</v>
      </c>
      <c r="F265" s="365">
        <v>3.2</v>
      </c>
      <c r="G265" s="353">
        <f>+SUM(H265:W265)</f>
        <v>0</v>
      </c>
      <c r="H265" s="39"/>
      <c r="I265" s="39"/>
      <c r="J265" s="41"/>
      <c r="K265" s="41"/>
      <c r="L265" s="41"/>
      <c r="M265" s="41"/>
      <c r="N265" s="41"/>
      <c r="O265" s="41"/>
      <c r="P265" s="41"/>
      <c r="Q265" s="41"/>
      <c r="R265" s="41"/>
      <c r="S265" s="41"/>
      <c r="T265" s="39"/>
      <c r="U265" s="39"/>
      <c r="V265" s="41"/>
      <c r="W265" s="41"/>
      <c r="X265" s="39"/>
      <c r="Y265" s="32">
        <f>E265*100000</f>
        <v>320000</v>
      </c>
      <c r="Z265" s="32">
        <f>Y265*6</f>
        <v>1920000</v>
      </c>
    </row>
    <row r="266" spans="1:26" s="10" customFormat="1" ht="27.95" customHeight="1">
      <c r="A266" s="4" t="s">
        <v>116</v>
      </c>
      <c r="B266" s="211" t="s">
        <v>679</v>
      </c>
      <c r="C266" s="30">
        <v>3</v>
      </c>
      <c r="D266" s="30">
        <v>3</v>
      </c>
      <c r="E266" s="41">
        <f t="shared" ref="E266:Z266" si="109">SUM(E267:E269)</f>
        <v>9.5392499999999991</v>
      </c>
      <c r="F266" s="41">
        <f t="shared" si="109"/>
        <v>8.129999999999999</v>
      </c>
      <c r="G266" s="41">
        <f t="shared" si="109"/>
        <v>0.3</v>
      </c>
      <c r="H266" s="41">
        <f t="shared" si="109"/>
        <v>0</v>
      </c>
      <c r="I266" s="41">
        <f t="shared" si="109"/>
        <v>0.3</v>
      </c>
      <c r="J266" s="41">
        <f t="shared" si="109"/>
        <v>0</v>
      </c>
      <c r="K266" s="41">
        <f t="shared" si="109"/>
        <v>0</v>
      </c>
      <c r="L266" s="41">
        <f t="shared" si="109"/>
        <v>0</v>
      </c>
      <c r="M266" s="41">
        <f t="shared" si="109"/>
        <v>0</v>
      </c>
      <c r="N266" s="41">
        <f t="shared" si="109"/>
        <v>0</v>
      </c>
      <c r="O266" s="41">
        <f t="shared" si="109"/>
        <v>0</v>
      </c>
      <c r="P266" s="41">
        <f t="shared" si="109"/>
        <v>0</v>
      </c>
      <c r="Q266" s="41">
        <f t="shared" si="109"/>
        <v>0</v>
      </c>
      <c r="R266" s="41">
        <f t="shared" si="109"/>
        <v>0</v>
      </c>
      <c r="S266" s="41">
        <f t="shared" si="109"/>
        <v>0</v>
      </c>
      <c r="T266" s="41">
        <f t="shared" si="109"/>
        <v>0</v>
      </c>
      <c r="U266" s="41">
        <f t="shared" si="109"/>
        <v>0</v>
      </c>
      <c r="V266" s="41">
        <f t="shared" si="109"/>
        <v>0</v>
      </c>
      <c r="W266" s="41">
        <f t="shared" si="109"/>
        <v>0</v>
      </c>
      <c r="X266" s="41">
        <f t="shared" si="109"/>
        <v>1.1092499999999998</v>
      </c>
      <c r="Y266" s="30">
        <f t="shared" si="109"/>
        <v>953925</v>
      </c>
      <c r="Z266" s="30">
        <f t="shared" si="109"/>
        <v>5723550</v>
      </c>
    </row>
    <row r="267" spans="1:26" s="10" customFormat="1" ht="27.95" customHeight="1">
      <c r="A267" s="184">
        <v>1</v>
      </c>
      <c r="B267" s="69" t="s">
        <v>680</v>
      </c>
      <c r="C267" s="32"/>
      <c r="D267" s="32"/>
      <c r="E267" s="37">
        <f>+F267+G267+X267</f>
        <v>3.5</v>
      </c>
      <c r="F267" s="365">
        <v>3.2</v>
      </c>
      <c r="G267" s="353">
        <f>+SUM(H267:W267)</f>
        <v>0.3</v>
      </c>
      <c r="H267" s="39"/>
      <c r="I267" s="39">
        <v>0.3</v>
      </c>
      <c r="J267" s="41"/>
      <c r="K267" s="41"/>
      <c r="L267" s="41"/>
      <c r="M267" s="41"/>
      <c r="N267" s="41"/>
      <c r="O267" s="41"/>
      <c r="P267" s="41"/>
      <c r="Q267" s="41"/>
      <c r="R267" s="41"/>
      <c r="S267" s="41"/>
      <c r="T267" s="39"/>
      <c r="U267" s="39"/>
      <c r="V267" s="41"/>
      <c r="W267" s="41"/>
      <c r="X267" s="39"/>
      <c r="Y267" s="32">
        <f>E267*100000</f>
        <v>350000</v>
      </c>
      <c r="Z267" s="32">
        <f>Y267*6</f>
        <v>2100000</v>
      </c>
    </row>
    <row r="268" spans="1:26" s="10" customFormat="1" ht="27.95" customHeight="1">
      <c r="A268" s="184">
        <v>2</v>
      </c>
      <c r="B268" s="69" t="s">
        <v>681</v>
      </c>
      <c r="C268" s="32"/>
      <c r="D268" s="32"/>
      <c r="E268" s="37">
        <f>+F268+G268+X268</f>
        <v>2.7684999999999995</v>
      </c>
      <c r="F268" s="365">
        <v>2.2599999999999998</v>
      </c>
      <c r="G268" s="353">
        <f>+SUM(H268:W268)</f>
        <v>0</v>
      </c>
      <c r="H268" s="371"/>
      <c r="I268" s="39"/>
      <c r="J268" s="41"/>
      <c r="K268" s="41"/>
      <c r="L268" s="41"/>
      <c r="M268" s="41"/>
      <c r="N268" s="41"/>
      <c r="O268" s="41"/>
      <c r="P268" s="41"/>
      <c r="Q268" s="41"/>
      <c r="R268" s="41"/>
      <c r="S268" s="41"/>
      <c r="T268" s="39"/>
      <c r="U268" s="39"/>
      <c r="V268" s="41"/>
      <c r="W268" s="41"/>
      <c r="X268" s="39">
        <f>(F268+I268+J268+K268)*22.5/100</f>
        <v>0.50849999999999995</v>
      </c>
      <c r="Y268" s="32">
        <f>E268*100000</f>
        <v>276849.99999999994</v>
      </c>
      <c r="Z268" s="32">
        <f>Y268*6</f>
        <v>1661099.9999999995</v>
      </c>
    </row>
    <row r="269" spans="1:26" s="10" customFormat="1" ht="27.95" customHeight="1">
      <c r="A269" s="184">
        <v>3</v>
      </c>
      <c r="B269" s="69" t="s">
        <v>682</v>
      </c>
      <c r="C269" s="32"/>
      <c r="D269" s="32"/>
      <c r="E269" s="37">
        <f>+F269+G269+X269</f>
        <v>3.27075</v>
      </c>
      <c r="F269" s="365">
        <v>2.67</v>
      </c>
      <c r="G269" s="353">
        <f>+SUM(H269:W269)</f>
        <v>0</v>
      </c>
      <c r="H269" s="39"/>
      <c r="I269" s="39"/>
      <c r="J269" s="41"/>
      <c r="K269" s="41"/>
      <c r="L269" s="41"/>
      <c r="M269" s="41"/>
      <c r="N269" s="41"/>
      <c r="O269" s="41"/>
      <c r="P269" s="41"/>
      <c r="Q269" s="41"/>
      <c r="R269" s="41"/>
      <c r="S269" s="41"/>
      <c r="T269" s="39"/>
      <c r="U269" s="39"/>
      <c r="V269" s="41"/>
      <c r="W269" s="41"/>
      <c r="X269" s="39">
        <f>(F269+I269+J269+K269)*22.5/100</f>
        <v>0.60075000000000001</v>
      </c>
      <c r="Y269" s="32">
        <f>E269*100000</f>
        <v>327075</v>
      </c>
      <c r="Z269" s="32">
        <f>Y269*6</f>
        <v>1962450</v>
      </c>
    </row>
    <row r="270" spans="1:26" s="10" customFormat="1" ht="27.95" customHeight="1">
      <c r="A270" s="4" t="s">
        <v>545</v>
      </c>
      <c r="B270" s="210" t="s">
        <v>683</v>
      </c>
      <c r="C270" s="30">
        <v>1</v>
      </c>
      <c r="D270" s="30">
        <v>1</v>
      </c>
      <c r="E270" s="40">
        <f>E271</f>
        <v>3.58</v>
      </c>
      <c r="F270" s="63">
        <f t="shared" ref="F270:Z270" si="110">F271</f>
        <v>2.88</v>
      </c>
      <c r="G270" s="63">
        <f t="shared" si="110"/>
        <v>0.7</v>
      </c>
      <c r="H270" s="63">
        <f t="shared" si="110"/>
        <v>0</v>
      </c>
      <c r="I270" s="63">
        <f t="shared" si="110"/>
        <v>0</v>
      </c>
      <c r="J270" s="63">
        <f t="shared" si="110"/>
        <v>0</v>
      </c>
      <c r="K270" s="63">
        <f t="shared" si="110"/>
        <v>0</v>
      </c>
      <c r="L270" s="63">
        <f t="shared" si="110"/>
        <v>0.7</v>
      </c>
      <c r="M270" s="63">
        <f t="shared" si="110"/>
        <v>0</v>
      </c>
      <c r="N270" s="63">
        <f t="shared" si="110"/>
        <v>0</v>
      </c>
      <c r="O270" s="63">
        <f t="shared" si="110"/>
        <v>0</v>
      </c>
      <c r="P270" s="63">
        <f t="shared" si="110"/>
        <v>0</v>
      </c>
      <c r="Q270" s="63">
        <f t="shared" si="110"/>
        <v>0</v>
      </c>
      <c r="R270" s="63">
        <f t="shared" si="110"/>
        <v>0</v>
      </c>
      <c r="S270" s="63">
        <f t="shared" si="110"/>
        <v>0</v>
      </c>
      <c r="T270" s="63">
        <f t="shared" si="110"/>
        <v>0</v>
      </c>
      <c r="U270" s="63">
        <f t="shared" si="110"/>
        <v>0</v>
      </c>
      <c r="V270" s="63">
        <f t="shared" si="110"/>
        <v>0</v>
      </c>
      <c r="W270" s="63">
        <f t="shared" si="110"/>
        <v>0</v>
      </c>
      <c r="X270" s="63">
        <f t="shared" si="110"/>
        <v>0</v>
      </c>
      <c r="Y270" s="33">
        <f t="shared" si="110"/>
        <v>358000</v>
      </c>
      <c r="Z270" s="33">
        <f t="shared" si="110"/>
        <v>2148000</v>
      </c>
    </row>
    <row r="271" spans="1:26" s="10" customFormat="1" ht="27.95" customHeight="1">
      <c r="A271" s="184">
        <v>1</v>
      </c>
      <c r="B271" s="69" t="s">
        <v>684</v>
      </c>
      <c r="C271" s="32"/>
      <c r="D271" s="32"/>
      <c r="E271" s="37">
        <f>+F271+G271+X271</f>
        <v>3.58</v>
      </c>
      <c r="F271" s="365">
        <v>2.88</v>
      </c>
      <c r="G271" s="353">
        <f>+SUM(H271:W271)</f>
        <v>0.7</v>
      </c>
      <c r="H271" s="39"/>
      <c r="I271" s="39"/>
      <c r="J271" s="41"/>
      <c r="K271" s="41"/>
      <c r="L271" s="41">
        <v>0.7</v>
      </c>
      <c r="M271" s="41"/>
      <c r="N271" s="41"/>
      <c r="O271" s="41"/>
      <c r="P271" s="41"/>
      <c r="Q271" s="41"/>
      <c r="R271" s="41"/>
      <c r="S271" s="41"/>
      <c r="T271" s="39"/>
      <c r="U271" s="39"/>
      <c r="V271" s="41"/>
      <c r="W271" s="41"/>
      <c r="X271" s="39"/>
      <c r="Y271" s="32">
        <f>E271*100000</f>
        <v>358000</v>
      </c>
      <c r="Z271" s="32">
        <f>Y271*6</f>
        <v>2148000</v>
      </c>
    </row>
    <row r="272" spans="1:26" s="10" customFormat="1" ht="27.95" customHeight="1">
      <c r="A272" s="4" t="s">
        <v>546</v>
      </c>
      <c r="B272" s="210" t="s">
        <v>685</v>
      </c>
      <c r="C272" s="30">
        <v>2</v>
      </c>
      <c r="D272" s="30">
        <v>2</v>
      </c>
      <c r="E272" s="40">
        <f>SUM(E273:E274)</f>
        <v>5.2484999999999999</v>
      </c>
      <c r="F272" s="63">
        <f t="shared" ref="F272:Z272" si="111">SUM(F273:F274)</f>
        <v>4.53</v>
      </c>
      <c r="G272" s="63">
        <f t="shared" si="111"/>
        <v>0.3</v>
      </c>
      <c r="H272" s="63">
        <f t="shared" si="111"/>
        <v>0.3</v>
      </c>
      <c r="I272" s="63">
        <f t="shared" si="111"/>
        <v>0</v>
      </c>
      <c r="J272" s="63">
        <f t="shared" si="111"/>
        <v>0</v>
      </c>
      <c r="K272" s="63">
        <f t="shared" si="111"/>
        <v>0</v>
      </c>
      <c r="L272" s="63">
        <f t="shared" si="111"/>
        <v>0</v>
      </c>
      <c r="M272" s="63">
        <f t="shared" si="111"/>
        <v>0</v>
      </c>
      <c r="N272" s="63">
        <f t="shared" si="111"/>
        <v>0</v>
      </c>
      <c r="O272" s="63">
        <f t="shared" si="111"/>
        <v>0</v>
      </c>
      <c r="P272" s="63">
        <f t="shared" si="111"/>
        <v>0</v>
      </c>
      <c r="Q272" s="63">
        <f t="shared" si="111"/>
        <v>0</v>
      </c>
      <c r="R272" s="63">
        <f t="shared" si="111"/>
        <v>0</v>
      </c>
      <c r="S272" s="63">
        <f t="shared" si="111"/>
        <v>0</v>
      </c>
      <c r="T272" s="63">
        <f t="shared" si="111"/>
        <v>0</v>
      </c>
      <c r="U272" s="63">
        <f t="shared" si="111"/>
        <v>0</v>
      </c>
      <c r="V272" s="63">
        <f t="shared" si="111"/>
        <v>0</v>
      </c>
      <c r="W272" s="63">
        <f t="shared" si="111"/>
        <v>0</v>
      </c>
      <c r="X272" s="63">
        <f t="shared" si="111"/>
        <v>0.41850000000000004</v>
      </c>
      <c r="Y272" s="33">
        <f t="shared" si="111"/>
        <v>524850</v>
      </c>
      <c r="Z272" s="33">
        <f t="shared" si="111"/>
        <v>3149100</v>
      </c>
    </row>
    <row r="273" spans="1:26" s="10" customFormat="1" ht="27.95" customHeight="1">
      <c r="A273" s="184">
        <v>1</v>
      </c>
      <c r="B273" s="69" t="s">
        <v>686</v>
      </c>
      <c r="C273" s="32"/>
      <c r="D273" s="32"/>
      <c r="E273" s="37">
        <f>+F273+G273+X273</f>
        <v>2.9699999999999998</v>
      </c>
      <c r="F273" s="365">
        <v>2.67</v>
      </c>
      <c r="G273" s="353">
        <f>+SUM(H273:W273)</f>
        <v>0.3</v>
      </c>
      <c r="H273" s="39">
        <v>0.3</v>
      </c>
      <c r="I273" s="39"/>
      <c r="J273" s="41"/>
      <c r="K273" s="41"/>
      <c r="L273" s="41"/>
      <c r="M273" s="41"/>
      <c r="N273" s="41"/>
      <c r="O273" s="41"/>
      <c r="P273" s="41"/>
      <c r="Q273" s="41"/>
      <c r="R273" s="41"/>
      <c r="S273" s="41"/>
      <c r="T273" s="39"/>
      <c r="U273" s="39"/>
      <c r="V273" s="41"/>
      <c r="W273" s="41"/>
      <c r="X273" s="39"/>
      <c r="Y273" s="32">
        <f>E273*100000</f>
        <v>297000</v>
      </c>
      <c r="Z273" s="32">
        <f>Y273*6</f>
        <v>1782000</v>
      </c>
    </row>
    <row r="274" spans="1:26" s="10" customFormat="1" ht="27.95" customHeight="1">
      <c r="A274" s="184">
        <v>2</v>
      </c>
      <c r="B274" s="70" t="s">
        <v>687</v>
      </c>
      <c r="C274" s="32"/>
      <c r="D274" s="32"/>
      <c r="E274" s="37">
        <f>+F274+G274+X274</f>
        <v>2.2785000000000002</v>
      </c>
      <c r="F274" s="365">
        <v>1.86</v>
      </c>
      <c r="G274" s="353">
        <f>+SUM(H274:W274)</f>
        <v>0</v>
      </c>
      <c r="H274" s="39"/>
      <c r="I274" s="39"/>
      <c r="J274" s="41"/>
      <c r="K274" s="41"/>
      <c r="L274" s="41"/>
      <c r="M274" s="41"/>
      <c r="N274" s="41"/>
      <c r="O274" s="41"/>
      <c r="P274" s="41"/>
      <c r="Q274" s="41"/>
      <c r="R274" s="41"/>
      <c r="S274" s="41"/>
      <c r="T274" s="39"/>
      <c r="U274" s="39"/>
      <c r="V274" s="41"/>
      <c r="W274" s="41"/>
      <c r="X274" s="39">
        <f>(F274+I274+J274+K274)*22.5/100</f>
        <v>0.41850000000000004</v>
      </c>
      <c r="Y274" s="32">
        <f>E274*100000</f>
        <v>227850.00000000003</v>
      </c>
      <c r="Z274" s="32">
        <f>Y274*6</f>
        <v>1367100.0000000002</v>
      </c>
    </row>
    <row r="275" spans="1:26" s="10" customFormat="1" ht="27.95" customHeight="1">
      <c r="A275" s="4" t="s">
        <v>547</v>
      </c>
      <c r="B275" s="59" t="s">
        <v>125</v>
      </c>
      <c r="C275" s="30">
        <v>3</v>
      </c>
      <c r="D275" s="30">
        <v>3</v>
      </c>
      <c r="E275" s="40">
        <f t="shared" ref="E275:Z275" si="112">SUM(E276:E278)</f>
        <v>16.129935</v>
      </c>
      <c r="F275" s="63">
        <f t="shared" si="112"/>
        <v>11.17</v>
      </c>
      <c r="G275" s="63">
        <f t="shared" si="112"/>
        <v>2.2557500000000004</v>
      </c>
      <c r="H275" s="63">
        <f t="shared" si="112"/>
        <v>0</v>
      </c>
      <c r="I275" s="63">
        <f t="shared" si="112"/>
        <v>0.5</v>
      </c>
      <c r="J275" s="63">
        <f t="shared" si="112"/>
        <v>0.34860000000000002</v>
      </c>
      <c r="K275" s="63">
        <f t="shared" si="112"/>
        <v>0</v>
      </c>
      <c r="L275" s="63">
        <f t="shared" si="112"/>
        <v>0</v>
      </c>
      <c r="M275" s="63">
        <f t="shared" si="112"/>
        <v>0</v>
      </c>
      <c r="N275" s="63">
        <f t="shared" si="112"/>
        <v>0</v>
      </c>
      <c r="O275" s="63">
        <f t="shared" si="112"/>
        <v>0</v>
      </c>
      <c r="P275" s="63">
        <f t="shared" si="112"/>
        <v>0</v>
      </c>
      <c r="Q275" s="63">
        <f t="shared" si="112"/>
        <v>0</v>
      </c>
      <c r="R275" s="63">
        <f t="shared" si="112"/>
        <v>0</v>
      </c>
      <c r="S275" s="63">
        <f t="shared" si="112"/>
        <v>0</v>
      </c>
      <c r="T275" s="63">
        <f t="shared" si="112"/>
        <v>1.4071500000000001</v>
      </c>
      <c r="U275" s="63">
        <f t="shared" si="112"/>
        <v>0</v>
      </c>
      <c r="V275" s="63">
        <f t="shared" si="112"/>
        <v>0</v>
      </c>
      <c r="W275" s="63">
        <f t="shared" si="112"/>
        <v>0</v>
      </c>
      <c r="X275" s="63">
        <f t="shared" si="112"/>
        <v>2.7041850000000003</v>
      </c>
      <c r="Y275" s="33">
        <f t="shared" si="112"/>
        <v>1612993.5</v>
      </c>
      <c r="Z275" s="33">
        <f t="shared" si="112"/>
        <v>9677961</v>
      </c>
    </row>
    <row r="276" spans="1:26" s="10" customFormat="1" ht="27.95" customHeight="1">
      <c r="A276" s="184">
        <v>1</v>
      </c>
      <c r="B276" s="14" t="s">
        <v>126</v>
      </c>
      <c r="C276" s="30"/>
      <c r="D276" s="30"/>
      <c r="E276" s="37">
        <f>+F276+G276+X276</f>
        <v>8.3021849999999997</v>
      </c>
      <c r="F276" s="43">
        <v>4.9800000000000004</v>
      </c>
      <c r="G276" s="353">
        <f>+SUM(H276:W276)</f>
        <v>2.0557500000000002</v>
      </c>
      <c r="H276" s="39"/>
      <c r="I276" s="39">
        <v>0.3</v>
      </c>
      <c r="J276" s="39">
        <f>F276*7/100</f>
        <v>0.34860000000000002</v>
      </c>
      <c r="K276" s="39"/>
      <c r="L276" s="39"/>
      <c r="M276" s="39"/>
      <c r="N276" s="39"/>
      <c r="O276" s="39"/>
      <c r="P276" s="39"/>
      <c r="Q276" s="39"/>
      <c r="R276" s="39"/>
      <c r="S276" s="39"/>
      <c r="T276" s="39">
        <f>(F276+I276+J276)*25/100</f>
        <v>1.4071500000000001</v>
      </c>
      <c r="U276" s="39"/>
      <c r="V276" s="39"/>
      <c r="W276" s="39"/>
      <c r="X276" s="39">
        <f>(F276+I276+J276+K276)*22.5/100</f>
        <v>1.2664350000000002</v>
      </c>
      <c r="Y276" s="32">
        <f>E276*100000</f>
        <v>830218.5</v>
      </c>
      <c r="Z276" s="32">
        <f>Y276*6</f>
        <v>4981311</v>
      </c>
    </row>
    <row r="277" spans="1:26" s="10" customFormat="1" ht="27.95" customHeight="1">
      <c r="A277" s="184">
        <v>2</v>
      </c>
      <c r="B277" s="14" t="s">
        <v>127</v>
      </c>
      <c r="C277" s="30"/>
      <c r="D277" s="30"/>
      <c r="E277" s="37">
        <f>+F277+G277+X277</f>
        <v>4.3242500000000001</v>
      </c>
      <c r="F277" s="43">
        <v>3.33</v>
      </c>
      <c r="G277" s="353">
        <f>+SUM(H277:W277)</f>
        <v>0.2</v>
      </c>
      <c r="H277" s="39"/>
      <c r="I277" s="39">
        <v>0.2</v>
      </c>
      <c r="J277" s="39"/>
      <c r="K277" s="39"/>
      <c r="L277" s="39"/>
      <c r="M277" s="39"/>
      <c r="N277" s="39"/>
      <c r="O277" s="39"/>
      <c r="P277" s="39"/>
      <c r="Q277" s="39"/>
      <c r="R277" s="39"/>
      <c r="S277" s="39"/>
      <c r="T277" s="39"/>
      <c r="U277" s="39"/>
      <c r="V277" s="39"/>
      <c r="W277" s="39"/>
      <c r="X277" s="39">
        <f>(F277+I277+J277+K277)*22.5/100</f>
        <v>0.79425000000000012</v>
      </c>
      <c r="Y277" s="32">
        <f>E277*100000</f>
        <v>432425</v>
      </c>
      <c r="Z277" s="32">
        <f>Y277*6</f>
        <v>2594550</v>
      </c>
    </row>
    <row r="278" spans="1:26" s="10" customFormat="1" ht="27.95" customHeight="1">
      <c r="A278" s="184">
        <v>3</v>
      </c>
      <c r="B278" s="14" t="s">
        <v>128</v>
      </c>
      <c r="C278" s="30"/>
      <c r="D278" s="30"/>
      <c r="E278" s="37">
        <f>+F278+G278+X278</f>
        <v>3.5034999999999998</v>
      </c>
      <c r="F278" s="43">
        <v>2.86</v>
      </c>
      <c r="G278" s="353">
        <f>+SUM(H278:W278)</f>
        <v>0</v>
      </c>
      <c r="H278" s="39"/>
      <c r="I278" s="39"/>
      <c r="J278" s="39"/>
      <c r="K278" s="39"/>
      <c r="L278" s="39"/>
      <c r="M278" s="39"/>
      <c r="N278" s="39"/>
      <c r="O278" s="39"/>
      <c r="P278" s="39"/>
      <c r="Q278" s="39"/>
      <c r="R278" s="39"/>
      <c r="S278" s="39"/>
      <c r="T278" s="39"/>
      <c r="U278" s="39"/>
      <c r="V278" s="39"/>
      <c r="W278" s="39"/>
      <c r="X278" s="39">
        <f>(F278+I278+J278+K278)*22.5/100</f>
        <v>0.64349999999999996</v>
      </c>
      <c r="Y278" s="32">
        <f>E278*100000</f>
        <v>350350</v>
      </c>
      <c r="Z278" s="32">
        <f>Y278*6</f>
        <v>2102100</v>
      </c>
    </row>
    <row r="279" spans="1:26" s="10" customFormat="1" ht="31.5" customHeight="1">
      <c r="A279" s="4" t="s">
        <v>592</v>
      </c>
      <c r="B279" s="59" t="s">
        <v>688</v>
      </c>
      <c r="C279" s="30"/>
      <c r="D279" s="30"/>
      <c r="E279" s="40">
        <f>E280</f>
        <v>0.2</v>
      </c>
      <c r="F279" s="63">
        <f t="shared" ref="F279:Z279" si="113">F280</f>
        <v>0</v>
      </c>
      <c r="G279" s="63">
        <f t="shared" si="113"/>
        <v>0.2</v>
      </c>
      <c r="H279" s="63">
        <f t="shared" si="113"/>
        <v>0</v>
      </c>
      <c r="I279" s="63">
        <f t="shared" si="113"/>
        <v>0</v>
      </c>
      <c r="J279" s="63">
        <f t="shared" si="113"/>
        <v>0</v>
      </c>
      <c r="K279" s="63">
        <f t="shared" si="113"/>
        <v>0</v>
      </c>
      <c r="L279" s="63">
        <f t="shared" si="113"/>
        <v>0.2</v>
      </c>
      <c r="M279" s="63">
        <f t="shared" si="113"/>
        <v>0</v>
      </c>
      <c r="N279" s="63">
        <f t="shared" si="113"/>
        <v>0</v>
      </c>
      <c r="O279" s="63">
        <f t="shared" si="113"/>
        <v>0</v>
      </c>
      <c r="P279" s="63">
        <f t="shared" si="113"/>
        <v>0</v>
      </c>
      <c r="Q279" s="63">
        <f t="shared" si="113"/>
        <v>0</v>
      </c>
      <c r="R279" s="63">
        <f t="shared" si="113"/>
        <v>0</v>
      </c>
      <c r="S279" s="63">
        <f t="shared" si="113"/>
        <v>0</v>
      </c>
      <c r="T279" s="63">
        <f t="shared" si="113"/>
        <v>0</v>
      </c>
      <c r="U279" s="63">
        <f t="shared" si="113"/>
        <v>0</v>
      </c>
      <c r="V279" s="63">
        <f t="shared" si="113"/>
        <v>0</v>
      </c>
      <c r="W279" s="63">
        <f t="shared" si="113"/>
        <v>0</v>
      </c>
      <c r="X279" s="63">
        <f t="shared" si="113"/>
        <v>0</v>
      </c>
      <c r="Y279" s="33">
        <f t="shared" si="113"/>
        <v>20000</v>
      </c>
      <c r="Z279" s="33">
        <f t="shared" si="113"/>
        <v>120000</v>
      </c>
    </row>
    <row r="280" spans="1:26" s="10" customFormat="1" ht="27.95" customHeight="1">
      <c r="A280" s="184">
        <v>1</v>
      </c>
      <c r="B280" s="14" t="s">
        <v>230</v>
      </c>
      <c r="C280" s="30"/>
      <c r="D280" s="30"/>
      <c r="E280" s="37">
        <f>+F280+G280+X280</f>
        <v>0.2</v>
      </c>
      <c r="F280" s="43"/>
      <c r="G280" s="353">
        <f>+SUM(H280:W280)</f>
        <v>0.2</v>
      </c>
      <c r="H280" s="39"/>
      <c r="I280" s="39"/>
      <c r="J280" s="39"/>
      <c r="K280" s="39"/>
      <c r="L280" s="39">
        <v>0.2</v>
      </c>
      <c r="M280" s="39"/>
      <c r="N280" s="39"/>
      <c r="O280" s="39"/>
      <c r="P280" s="39"/>
      <c r="Q280" s="39"/>
      <c r="R280" s="39"/>
      <c r="S280" s="39"/>
      <c r="T280" s="39"/>
      <c r="U280" s="39"/>
      <c r="V280" s="39"/>
      <c r="W280" s="39"/>
      <c r="X280" s="39"/>
      <c r="Y280" s="32">
        <f>E280*100000</f>
        <v>20000</v>
      </c>
      <c r="Z280" s="32">
        <f>Y280*6</f>
        <v>120000</v>
      </c>
    </row>
    <row r="281" spans="1:26" s="10" customFormat="1" ht="32.25" customHeight="1">
      <c r="A281" s="65" t="s">
        <v>249</v>
      </c>
      <c r="B281" s="47" t="s">
        <v>555</v>
      </c>
      <c r="C281" s="30">
        <f t="shared" ref="C281:Z281" si="114">C283+C293+C311+C320+C323+C330</f>
        <v>816</v>
      </c>
      <c r="D281" s="30">
        <f t="shared" si="114"/>
        <v>808</v>
      </c>
      <c r="E281" s="41">
        <f t="shared" si="114"/>
        <v>5124.5586028999996</v>
      </c>
      <c r="F281" s="41">
        <f t="shared" si="114"/>
        <v>2642.3500000000004</v>
      </c>
      <c r="G281" s="41">
        <f t="shared" si="114"/>
        <v>1771.91353</v>
      </c>
      <c r="H281" s="41">
        <f t="shared" si="114"/>
        <v>26.799999999999997</v>
      </c>
      <c r="I281" s="41">
        <f t="shared" si="114"/>
        <v>46.899999999999991</v>
      </c>
      <c r="J281" s="41">
        <f t="shared" si="114"/>
        <v>2.8306999999999998</v>
      </c>
      <c r="K281" s="41">
        <f t="shared" si="114"/>
        <v>330.72343999999998</v>
      </c>
      <c r="L281" s="41">
        <f t="shared" si="114"/>
        <v>0</v>
      </c>
      <c r="M281" s="41">
        <f t="shared" si="114"/>
        <v>0</v>
      </c>
      <c r="N281" s="41">
        <f t="shared" si="114"/>
        <v>0</v>
      </c>
      <c r="O281" s="41">
        <f t="shared" si="114"/>
        <v>0</v>
      </c>
      <c r="P281" s="41">
        <f t="shared" si="114"/>
        <v>3.8</v>
      </c>
      <c r="Q281" s="41">
        <f t="shared" si="114"/>
        <v>998.69239000000016</v>
      </c>
      <c r="R281" s="41">
        <f t="shared" si="114"/>
        <v>59.717000000000006</v>
      </c>
      <c r="S281" s="41">
        <f t="shared" si="114"/>
        <v>110.30000000000001</v>
      </c>
      <c r="T281" s="41">
        <f t="shared" si="114"/>
        <v>0</v>
      </c>
      <c r="U281" s="41">
        <f t="shared" si="114"/>
        <v>0</v>
      </c>
      <c r="V281" s="41">
        <f t="shared" si="114"/>
        <v>16.549999999999997</v>
      </c>
      <c r="W281" s="41">
        <f t="shared" si="114"/>
        <v>175.60000000000002</v>
      </c>
      <c r="X281" s="41">
        <f t="shared" si="114"/>
        <v>710.29507290000004</v>
      </c>
      <c r="Y281" s="30">
        <f t="shared" si="114"/>
        <v>512455860.29000008</v>
      </c>
      <c r="Z281" s="30">
        <f t="shared" si="114"/>
        <v>3074735161.7400002</v>
      </c>
    </row>
    <row r="282" spans="1:26" s="10" customFormat="1" ht="32.25" customHeight="1">
      <c r="A282" s="65" t="s">
        <v>2</v>
      </c>
      <c r="B282" s="18" t="s">
        <v>717</v>
      </c>
      <c r="C282" s="30">
        <f t="shared" ref="C282:Z282" si="115">C283+C293+C311</f>
        <v>791</v>
      </c>
      <c r="D282" s="30">
        <f t="shared" si="115"/>
        <v>791</v>
      </c>
      <c r="E282" s="41">
        <f t="shared" si="115"/>
        <v>5055.3526528999992</v>
      </c>
      <c r="F282" s="41">
        <f t="shared" si="115"/>
        <v>2588.34</v>
      </c>
      <c r="G282" s="41">
        <f t="shared" si="115"/>
        <v>1769.6045300000001</v>
      </c>
      <c r="H282" s="41">
        <f t="shared" si="115"/>
        <v>26.799999999999997</v>
      </c>
      <c r="I282" s="41">
        <f t="shared" si="115"/>
        <v>45.79999999999999</v>
      </c>
      <c r="J282" s="41">
        <f t="shared" si="115"/>
        <v>2.8306999999999998</v>
      </c>
      <c r="K282" s="41">
        <f t="shared" si="115"/>
        <v>330.72343999999998</v>
      </c>
      <c r="L282" s="41">
        <f t="shared" si="115"/>
        <v>0</v>
      </c>
      <c r="M282" s="41">
        <f t="shared" si="115"/>
        <v>0</v>
      </c>
      <c r="N282" s="41">
        <f t="shared" si="115"/>
        <v>0</v>
      </c>
      <c r="O282" s="41">
        <f t="shared" si="115"/>
        <v>0</v>
      </c>
      <c r="P282" s="41">
        <f t="shared" si="115"/>
        <v>3.8</v>
      </c>
      <c r="Q282" s="41">
        <f t="shared" si="115"/>
        <v>997.63339000000019</v>
      </c>
      <c r="R282" s="41">
        <f t="shared" si="115"/>
        <v>59.717000000000006</v>
      </c>
      <c r="S282" s="41">
        <f t="shared" si="115"/>
        <v>110.30000000000001</v>
      </c>
      <c r="T282" s="41">
        <f t="shared" si="115"/>
        <v>0</v>
      </c>
      <c r="U282" s="41">
        <f t="shared" si="115"/>
        <v>0</v>
      </c>
      <c r="V282" s="41">
        <f t="shared" si="115"/>
        <v>16.399999999999999</v>
      </c>
      <c r="W282" s="41">
        <f t="shared" si="115"/>
        <v>175.60000000000002</v>
      </c>
      <c r="X282" s="41">
        <f t="shared" si="115"/>
        <v>697.40812289999997</v>
      </c>
      <c r="Y282" s="30">
        <f t="shared" si="115"/>
        <v>505535265.29000008</v>
      </c>
      <c r="Z282" s="30">
        <f t="shared" si="115"/>
        <v>3033211591.7400002</v>
      </c>
    </row>
    <row r="283" spans="1:26" s="10" customFormat="1" ht="27.95" customHeight="1">
      <c r="A283" s="3" t="s">
        <v>718</v>
      </c>
      <c r="B283" s="18" t="s">
        <v>87</v>
      </c>
      <c r="C283" s="30">
        <f>SUM(C284:C292)</f>
        <v>143</v>
      </c>
      <c r="D283" s="30">
        <f t="shared" ref="D283:Z283" si="116">SUM(D284:D292)</f>
        <v>143</v>
      </c>
      <c r="E283" s="41">
        <f t="shared" si="116"/>
        <v>827.73726950000002</v>
      </c>
      <c r="F283" s="41">
        <f t="shared" si="116"/>
        <v>403.63</v>
      </c>
      <c r="G283" s="41">
        <f t="shared" si="116"/>
        <v>319.80869999999993</v>
      </c>
      <c r="H283" s="41">
        <f t="shared" si="116"/>
        <v>5</v>
      </c>
      <c r="I283" s="41">
        <f t="shared" si="116"/>
        <v>7.1499999999999995</v>
      </c>
      <c r="J283" s="41">
        <f t="shared" si="116"/>
        <v>0</v>
      </c>
      <c r="K283" s="41">
        <f t="shared" si="116"/>
        <v>33.043700000000001</v>
      </c>
      <c r="L283" s="41">
        <f t="shared" si="116"/>
        <v>0</v>
      </c>
      <c r="M283" s="41">
        <f t="shared" si="116"/>
        <v>0</v>
      </c>
      <c r="N283" s="41">
        <f t="shared" si="116"/>
        <v>0</v>
      </c>
      <c r="O283" s="41">
        <f t="shared" si="116"/>
        <v>0</v>
      </c>
      <c r="P283" s="41">
        <f t="shared" si="116"/>
        <v>0</v>
      </c>
      <c r="Q283" s="41">
        <f t="shared" si="116"/>
        <v>165.96599999999998</v>
      </c>
      <c r="R283" s="41">
        <f t="shared" si="116"/>
        <v>23.849</v>
      </c>
      <c r="S283" s="41">
        <f t="shared" si="116"/>
        <v>14.2</v>
      </c>
      <c r="T283" s="41">
        <f t="shared" si="116"/>
        <v>0</v>
      </c>
      <c r="U283" s="41">
        <f t="shared" si="116"/>
        <v>0</v>
      </c>
      <c r="V283" s="41">
        <f t="shared" si="116"/>
        <v>1.5999999999999999</v>
      </c>
      <c r="W283" s="41">
        <f t="shared" si="116"/>
        <v>69</v>
      </c>
      <c r="X283" s="41">
        <f t="shared" si="116"/>
        <v>104.29856949999999</v>
      </c>
      <c r="Y283" s="30">
        <f t="shared" si="116"/>
        <v>82773726.950000003</v>
      </c>
      <c r="Z283" s="30">
        <f t="shared" si="116"/>
        <v>496642361.69999993</v>
      </c>
    </row>
    <row r="284" spans="1:26" s="10" customFormat="1" ht="24" customHeight="1">
      <c r="A284" s="212">
        <v>1</v>
      </c>
      <c r="B284" s="213" t="s">
        <v>80</v>
      </c>
      <c r="C284" s="214">
        <v>11</v>
      </c>
      <c r="D284" s="215">
        <v>11</v>
      </c>
      <c r="E284" s="37">
        <f t="shared" ref="E284:E291" si="117">+F284+G284+X284</f>
        <v>66.783730000000006</v>
      </c>
      <c r="F284" s="216">
        <v>36.42</v>
      </c>
      <c r="G284" s="353">
        <f t="shared" ref="G284:G291" si="118">+SUM(H284:W284)</f>
        <v>20.513000000000002</v>
      </c>
      <c r="H284" s="216">
        <v>2.2000000000000002</v>
      </c>
      <c r="I284" s="216">
        <v>1</v>
      </c>
      <c r="J284" s="216">
        <v>0</v>
      </c>
      <c r="K284" s="216">
        <v>4.4980000000000002</v>
      </c>
      <c r="L284" s="216">
        <v>0</v>
      </c>
      <c r="M284" s="216">
        <v>0</v>
      </c>
      <c r="N284" s="216">
        <v>0</v>
      </c>
      <c r="O284" s="216">
        <v>0</v>
      </c>
      <c r="P284" s="216">
        <v>0</v>
      </c>
      <c r="Q284" s="216">
        <v>12.615</v>
      </c>
      <c r="R284" s="216">
        <v>0</v>
      </c>
      <c r="S284" s="216">
        <v>0</v>
      </c>
      <c r="T284" s="216">
        <v>0</v>
      </c>
      <c r="U284" s="216">
        <v>0</v>
      </c>
      <c r="V284" s="216">
        <v>0.2</v>
      </c>
      <c r="W284" s="216">
        <v>0</v>
      </c>
      <c r="X284" s="372">
        <v>9.8507300000000022</v>
      </c>
      <c r="Y284" s="31">
        <f t="shared" ref="Y284:Y291" si="119">E284*100000</f>
        <v>6678373.0000000009</v>
      </c>
      <c r="Z284" s="32">
        <f t="shared" ref="Z284:Z291" si="120">Y284*6</f>
        <v>40070238.000000007</v>
      </c>
    </row>
    <row r="285" spans="1:26" s="10" customFormat="1" ht="27.95" customHeight="1">
      <c r="A285" s="2">
        <v>2</v>
      </c>
      <c r="B285" s="12" t="s">
        <v>81</v>
      </c>
      <c r="C285" s="32">
        <v>19</v>
      </c>
      <c r="D285" s="32">
        <v>19</v>
      </c>
      <c r="E285" s="37">
        <f t="shared" si="117"/>
        <v>79.067673999999982</v>
      </c>
      <c r="F285" s="43">
        <v>47.71</v>
      </c>
      <c r="G285" s="353">
        <f t="shared" si="118"/>
        <v>19.351899999999993</v>
      </c>
      <c r="H285" s="39">
        <v>0</v>
      </c>
      <c r="I285" s="39">
        <v>1.05</v>
      </c>
      <c r="J285" s="39">
        <v>0</v>
      </c>
      <c r="K285" s="39">
        <v>2.3283999999999998</v>
      </c>
      <c r="L285" s="39">
        <v>0</v>
      </c>
      <c r="M285" s="39">
        <v>0</v>
      </c>
      <c r="N285" s="39">
        <v>0</v>
      </c>
      <c r="O285" s="39">
        <v>0</v>
      </c>
      <c r="P285" s="39">
        <v>0</v>
      </c>
      <c r="Q285" s="39">
        <v>15.773499999999995</v>
      </c>
      <c r="R285" s="39">
        <v>0</v>
      </c>
      <c r="S285" s="39">
        <v>0</v>
      </c>
      <c r="T285" s="39">
        <v>0</v>
      </c>
      <c r="U285" s="39">
        <v>0</v>
      </c>
      <c r="V285" s="39">
        <v>0.2</v>
      </c>
      <c r="W285" s="39">
        <v>0</v>
      </c>
      <c r="X285" s="39">
        <v>12.005773999999994</v>
      </c>
      <c r="Y285" s="31">
        <f t="shared" si="119"/>
        <v>7906767.3999999985</v>
      </c>
      <c r="Z285" s="32">
        <f t="shared" si="120"/>
        <v>47440604.399999991</v>
      </c>
    </row>
    <row r="286" spans="1:26" s="10" customFormat="1" ht="27.95" customHeight="1">
      <c r="A286" s="2">
        <v>3</v>
      </c>
      <c r="B286" s="12" t="s">
        <v>82</v>
      </c>
      <c r="C286" s="32">
        <v>25</v>
      </c>
      <c r="D286" s="32">
        <v>25</v>
      </c>
      <c r="E286" s="37">
        <f t="shared" si="117"/>
        <v>159.42771249999998</v>
      </c>
      <c r="F286" s="43">
        <v>66.58</v>
      </c>
      <c r="G286" s="353">
        <f t="shared" si="118"/>
        <v>75.862499999999997</v>
      </c>
      <c r="H286" s="39">
        <v>0</v>
      </c>
      <c r="I286" s="39">
        <v>1.4</v>
      </c>
      <c r="J286" s="39">
        <v>0</v>
      </c>
      <c r="K286" s="39">
        <v>4.2975000000000003</v>
      </c>
      <c r="L286" s="39">
        <v>0</v>
      </c>
      <c r="M286" s="39">
        <v>0</v>
      </c>
      <c r="N286" s="39">
        <v>0</v>
      </c>
      <c r="O286" s="39">
        <v>0</v>
      </c>
      <c r="P286" s="39">
        <v>0</v>
      </c>
      <c r="Q286" s="39">
        <v>44.255999999999993</v>
      </c>
      <c r="R286" s="39">
        <v>18.809000000000001</v>
      </c>
      <c r="S286" s="39">
        <v>6.9</v>
      </c>
      <c r="T286" s="39">
        <v>0</v>
      </c>
      <c r="U286" s="39">
        <v>0</v>
      </c>
      <c r="V286" s="39">
        <v>0.2</v>
      </c>
      <c r="W286" s="39">
        <v>0</v>
      </c>
      <c r="X286" s="39">
        <v>16.985212499999996</v>
      </c>
      <c r="Y286" s="31">
        <f t="shared" si="119"/>
        <v>15942771.249999998</v>
      </c>
      <c r="Z286" s="32">
        <f t="shared" si="120"/>
        <v>95656627.499999985</v>
      </c>
    </row>
    <row r="287" spans="1:26" s="10" customFormat="1" ht="27.95" customHeight="1">
      <c r="A287" s="2">
        <v>4</v>
      </c>
      <c r="B287" s="12" t="s">
        <v>83</v>
      </c>
      <c r="C287" s="32">
        <v>14</v>
      </c>
      <c r="D287" s="32">
        <v>14</v>
      </c>
      <c r="E287" s="37">
        <f t="shared" si="117"/>
        <v>96.89627999999999</v>
      </c>
      <c r="F287" s="43">
        <v>40.94</v>
      </c>
      <c r="G287" s="353">
        <f t="shared" si="118"/>
        <v>45.181999999999995</v>
      </c>
      <c r="H287" s="39">
        <v>2.8</v>
      </c>
      <c r="I287" s="39">
        <v>0.6</v>
      </c>
      <c r="J287" s="39">
        <v>0</v>
      </c>
      <c r="K287" s="39">
        <v>4.3079999999999998</v>
      </c>
      <c r="L287" s="39">
        <v>0</v>
      </c>
      <c r="M287" s="39">
        <v>0</v>
      </c>
      <c r="N287" s="39">
        <v>0</v>
      </c>
      <c r="O287" s="39">
        <v>0</v>
      </c>
      <c r="P287" s="39">
        <v>0</v>
      </c>
      <c r="Q287" s="39">
        <v>24.933999999999997</v>
      </c>
      <c r="R287" s="39">
        <v>5.04</v>
      </c>
      <c r="S287" s="39">
        <v>7.3</v>
      </c>
      <c r="T287" s="39">
        <v>0</v>
      </c>
      <c r="U287" s="39">
        <v>0</v>
      </c>
      <c r="V287" s="39">
        <v>0.2</v>
      </c>
      <c r="W287" s="39">
        <v>0</v>
      </c>
      <c r="X287" s="39">
        <v>10.774280000000001</v>
      </c>
      <c r="Y287" s="31">
        <f t="shared" si="119"/>
        <v>9689627.9999999981</v>
      </c>
      <c r="Z287" s="32">
        <f t="shared" si="120"/>
        <v>58137767.999999985</v>
      </c>
    </row>
    <row r="288" spans="1:26" s="10" customFormat="1" ht="27.95" customHeight="1">
      <c r="A288" s="2">
        <v>5</v>
      </c>
      <c r="B288" s="12" t="s">
        <v>84</v>
      </c>
      <c r="C288" s="32">
        <v>20</v>
      </c>
      <c r="D288" s="32">
        <v>20</v>
      </c>
      <c r="E288" s="37">
        <f t="shared" si="117"/>
        <v>104.99436150000001</v>
      </c>
      <c r="F288" s="43">
        <v>61.36</v>
      </c>
      <c r="G288" s="353">
        <f t="shared" si="118"/>
        <v>27.477900000000002</v>
      </c>
      <c r="H288" s="39">
        <v>0</v>
      </c>
      <c r="I288" s="39">
        <v>1.05</v>
      </c>
      <c r="J288" s="39">
        <v>0</v>
      </c>
      <c r="K288" s="39">
        <v>6.3409000000000004</v>
      </c>
      <c r="L288" s="39">
        <v>0</v>
      </c>
      <c r="M288" s="39">
        <v>0</v>
      </c>
      <c r="N288" s="39">
        <v>0</v>
      </c>
      <c r="O288" s="39">
        <v>0</v>
      </c>
      <c r="P288" s="39">
        <v>0</v>
      </c>
      <c r="Q288" s="39">
        <v>19.887</v>
      </c>
      <c r="R288" s="39">
        <v>0</v>
      </c>
      <c r="S288" s="39">
        <v>0</v>
      </c>
      <c r="T288" s="39">
        <v>0</v>
      </c>
      <c r="U288" s="39">
        <v>0</v>
      </c>
      <c r="V288" s="39">
        <v>0.2</v>
      </c>
      <c r="W288" s="39">
        <v>0</v>
      </c>
      <c r="X288" s="39">
        <v>16.156461500000002</v>
      </c>
      <c r="Y288" s="31">
        <f t="shared" si="119"/>
        <v>10499436.15</v>
      </c>
      <c r="Z288" s="32">
        <f t="shared" si="120"/>
        <v>62996616.900000006</v>
      </c>
    </row>
    <row r="289" spans="1:26" s="10" customFormat="1" ht="27.95" customHeight="1">
      <c r="A289" s="2">
        <v>6</v>
      </c>
      <c r="B289" s="12" t="s">
        <v>85</v>
      </c>
      <c r="C289" s="32">
        <v>14</v>
      </c>
      <c r="D289" s="32">
        <v>14</v>
      </c>
      <c r="E289" s="37">
        <f t="shared" si="117"/>
        <v>75.004595000000009</v>
      </c>
      <c r="F289" s="43">
        <v>43.78</v>
      </c>
      <c r="G289" s="353">
        <f t="shared" si="118"/>
        <v>19.668000000000003</v>
      </c>
      <c r="H289" s="39">
        <v>0</v>
      </c>
      <c r="I289" s="39">
        <v>0.8</v>
      </c>
      <c r="J289" s="39">
        <v>0</v>
      </c>
      <c r="K289" s="39">
        <v>4.5970000000000004</v>
      </c>
      <c r="L289" s="39">
        <v>0</v>
      </c>
      <c r="M289" s="39">
        <v>0</v>
      </c>
      <c r="N289" s="39">
        <v>0</v>
      </c>
      <c r="O289" s="39">
        <v>0</v>
      </c>
      <c r="P289" s="39">
        <v>0</v>
      </c>
      <c r="Q289" s="39">
        <v>14.071000000000002</v>
      </c>
      <c r="R289" s="39">
        <v>0</v>
      </c>
      <c r="S289" s="39">
        <v>0</v>
      </c>
      <c r="T289" s="39">
        <v>0</v>
      </c>
      <c r="U289" s="39">
        <v>0</v>
      </c>
      <c r="V289" s="39">
        <v>0.2</v>
      </c>
      <c r="W289" s="39">
        <v>0</v>
      </c>
      <c r="X289" s="39">
        <v>11.556594999999998</v>
      </c>
      <c r="Y289" s="31">
        <f t="shared" si="119"/>
        <v>7500459.5000000009</v>
      </c>
      <c r="Z289" s="32">
        <f t="shared" si="120"/>
        <v>45002757.000000007</v>
      </c>
    </row>
    <row r="290" spans="1:26" s="10" customFormat="1" ht="27.95" customHeight="1">
      <c r="A290" s="2">
        <v>7</v>
      </c>
      <c r="B290" s="12" t="s">
        <v>634</v>
      </c>
      <c r="C290" s="32">
        <v>19</v>
      </c>
      <c r="D290" s="32">
        <v>19</v>
      </c>
      <c r="E290" s="37">
        <f t="shared" si="117"/>
        <v>81.91295199999999</v>
      </c>
      <c r="F290" s="43">
        <v>50.04</v>
      </c>
      <c r="G290" s="353">
        <f t="shared" si="118"/>
        <v>19.417199999999994</v>
      </c>
      <c r="H290" s="39">
        <v>0</v>
      </c>
      <c r="I290" s="39">
        <v>0.6</v>
      </c>
      <c r="J290" s="39">
        <v>0</v>
      </c>
      <c r="K290" s="39">
        <v>2.3632</v>
      </c>
      <c r="L290" s="39">
        <v>0</v>
      </c>
      <c r="M290" s="39">
        <v>0</v>
      </c>
      <c r="N290" s="39">
        <v>0</v>
      </c>
      <c r="O290" s="39">
        <v>0</v>
      </c>
      <c r="P290" s="39">
        <v>0</v>
      </c>
      <c r="Q290" s="39">
        <v>16.253999999999994</v>
      </c>
      <c r="R290" s="39">
        <v>0</v>
      </c>
      <c r="S290" s="39">
        <v>0</v>
      </c>
      <c r="T290" s="39">
        <v>0</v>
      </c>
      <c r="U290" s="39">
        <v>0</v>
      </c>
      <c r="V290" s="39">
        <v>0.2</v>
      </c>
      <c r="W290" s="39">
        <v>0</v>
      </c>
      <c r="X290" s="39">
        <v>12.455751999999993</v>
      </c>
      <c r="Y290" s="31">
        <f t="shared" si="119"/>
        <v>8191295.1999999993</v>
      </c>
      <c r="Z290" s="32">
        <f t="shared" si="120"/>
        <v>49147771.199999996</v>
      </c>
    </row>
    <row r="291" spans="1:26" s="10" customFormat="1" ht="27.95" customHeight="1">
      <c r="A291" s="2">
        <v>8</v>
      </c>
      <c r="B291" s="12" t="s">
        <v>124</v>
      </c>
      <c r="C291" s="32">
        <v>21</v>
      </c>
      <c r="D291" s="32">
        <v>21</v>
      </c>
      <c r="E291" s="37">
        <f t="shared" si="117"/>
        <v>94.649964499999996</v>
      </c>
      <c r="F291" s="43">
        <v>56.8</v>
      </c>
      <c r="G291" s="353">
        <f t="shared" si="118"/>
        <v>23.336200000000002</v>
      </c>
      <c r="H291" s="39">
        <v>0</v>
      </c>
      <c r="I291" s="39">
        <v>0.65</v>
      </c>
      <c r="J291" s="39">
        <v>0</v>
      </c>
      <c r="K291" s="39">
        <v>4.3107000000000006</v>
      </c>
      <c r="L291" s="39">
        <v>0</v>
      </c>
      <c r="M291" s="39">
        <v>0</v>
      </c>
      <c r="N291" s="39">
        <v>0</v>
      </c>
      <c r="O291" s="39">
        <v>0</v>
      </c>
      <c r="P291" s="39">
        <v>0</v>
      </c>
      <c r="Q291" s="39">
        <v>18.1755</v>
      </c>
      <c r="R291" s="39">
        <v>0</v>
      </c>
      <c r="S291" s="39">
        <v>0</v>
      </c>
      <c r="T291" s="39">
        <v>0</v>
      </c>
      <c r="U291" s="39">
        <v>0</v>
      </c>
      <c r="V291" s="39">
        <v>0.2</v>
      </c>
      <c r="W291" s="39">
        <v>0</v>
      </c>
      <c r="X291" s="39">
        <v>14.513764499999994</v>
      </c>
      <c r="Y291" s="31">
        <f t="shared" si="119"/>
        <v>9464996.4499999993</v>
      </c>
      <c r="Z291" s="32">
        <f t="shared" si="120"/>
        <v>56789978.699999996</v>
      </c>
    </row>
    <row r="292" spans="1:26" s="10" customFormat="1" ht="31.5" customHeight="1">
      <c r="A292" s="2">
        <v>9</v>
      </c>
      <c r="B292" s="12" t="s">
        <v>689</v>
      </c>
      <c r="C292" s="32"/>
      <c r="D292" s="32"/>
      <c r="E292" s="37">
        <f>+F292+G292+X292</f>
        <v>69</v>
      </c>
      <c r="F292" s="43"/>
      <c r="G292" s="353">
        <f t="shared" ref="G292:G319" si="121">+SUM(H292:W292)</f>
        <v>69</v>
      </c>
      <c r="H292" s="39"/>
      <c r="I292" s="39"/>
      <c r="J292" s="39"/>
      <c r="K292" s="39"/>
      <c r="L292" s="39"/>
      <c r="M292" s="39"/>
      <c r="N292" s="39"/>
      <c r="O292" s="39"/>
      <c r="P292" s="39"/>
      <c r="Q292" s="39"/>
      <c r="R292" s="39"/>
      <c r="S292" s="39"/>
      <c r="T292" s="39"/>
      <c r="U292" s="39"/>
      <c r="V292" s="39"/>
      <c r="W292" s="39">
        <f>690*0.1</f>
        <v>69</v>
      </c>
      <c r="X292" s="39">
        <f>(F292+I292+J292+K292)*23.5/100</f>
        <v>0</v>
      </c>
      <c r="Y292" s="31">
        <f>E292*100000</f>
        <v>6900000</v>
      </c>
      <c r="Z292" s="32">
        <f>Y292*6</f>
        <v>41400000</v>
      </c>
    </row>
    <row r="293" spans="1:26" s="10" customFormat="1" ht="27.95" customHeight="1">
      <c r="A293" s="3" t="s">
        <v>719</v>
      </c>
      <c r="B293" s="18" t="s">
        <v>86</v>
      </c>
      <c r="C293" s="30">
        <f>SUM(C294:C310)</f>
        <v>407</v>
      </c>
      <c r="D293" s="30">
        <f t="shared" ref="D293:Z293" si="122">SUM(D294:D310)</f>
        <v>407</v>
      </c>
      <c r="E293" s="30">
        <f t="shared" si="122"/>
        <v>2629.2112669999997</v>
      </c>
      <c r="F293" s="41">
        <f t="shared" si="122"/>
        <v>1357.73</v>
      </c>
      <c r="G293" s="41">
        <f t="shared" si="122"/>
        <v>901.18701999999996</v>
      </c>
      <c r="H293" s="41">
        <f t="shared" si="122"/>
        <v>14.2</v>
      </c>
      <c r="I293" s="41">
        <f t="shared" si="122"/>
        <v>26.249999999999993</v>
      </c>
      <c r="J293" s="41">
        <f t="shared" si="122"/>
        <v>0.79520000000000002</v>
      </c>
      <c r="K293" s="41">
        <f t="shared" si="122"/>
        <v>190.94499999999999</v>
      </c>
      <c r="L293" s="41">
        <f t="shared" si="122"/>
        <v>0</v>
      </c>
      <c r="M293" s="41">
        <f t="shared" si="122"/>
        <v>0</v>
      </c>
      <c r="N293" s="41">
        <f t="shared" si="122"/>
        <v>0</v>
      </c>
      <c r="O293" s="41">
        <f t="shared" si="122"/>
        <v>0</v>
      </c>
      <c r="P293" s="41">
        <f t="shared" si="122"/>
        <v>2.6</v>
      </c>
      <c r="Q293" s="41">
        <f t="shared" si="122"/>
        <v>542.86182000000019</v>
      </c>
      <c r="R293" s="41">
        <f t="shared" si="122"/>
        <v>29.435000000000002</v>
      </c>
      <c r="S293" s="41">
        <f t="shared" si="122"/>
        <v>63.400000000000006</v>
      </c>
      <c r="T293" s="41">
        <f t="shared" si="122"/>
        <v>0</v>
      </c>
      <c r="U293" s="41">
        <f t="shared" si="122"/>
        <v>0</v>
      </c>
      <c r="V293" s="41">
        <f t="shared" si="122"/>
        <v>7.8999999999999986</v>
      </c>
      <c r="W293" s="41">
        <f t="shared" si="122"/>
        <v>22.8</v>
      </c>
      <c r="X293" s="41">
        <f t="shared" si="122"/>
        <v>370.29424699999998</v>
      </c>
      <c r="Y293" s="30">
        <f t="shared" si="122"/>
        <v>262921126.70000002</v>
      </c>
      <c r="Z293" s="30">
        <f t="shared" si="122"/>
        <v>1577526760.2</v>
      </c>
    </row>
    <row r="294" spans="1:26" s="10" customFormat="1" ht="27.95" customHeight="1">
      <c r="A294" s="2">
        <v>1</v>
      </c>
      <c r="B294" s="12" t="s">
        <v>88</v>
      </c>
      <c r="C294" s="32">
        <v>24</v>
      </c>
      <c r="D294" s="32">
        <v>24</v>
      </c>
      <c r="E294" s="37">
        <f t="shared" ref="E294:E309" si="123">+F294+G294+X294</f>
        <v>156.89561949999998</v>
      </c>
      <c r="F294" s="43">
        <v>85.67</v>
      </c>
      <c r="G294" s="353">
        <f t="shared" si="121"/>
        <v>47.553199999999997</v>
      </c>
      <c r="H294" s="39">
        <v>4.8</v>
      </c>
      <c r="I294" s="39">
        <v>1.8</v>
      </c>
      <c r="J294" s="39">
        <v>0</v>
      </c>
      <c r="K294" s="39">
        <v>13.263699999999998</v>
      </c>
      <c r="L294" s="39">
        <v>0</v>
      </c>
      <c r="M294" s="39">
        <v>0</v>
      </c>
      <c r="N294" s="39">
        <v>0</v>
      </c>
      <c r="O294" s="39">
        <v>0</v>
      </c>
      <c r="P294" s="39">
        <v>0.2</v>
      </c>
      <c r="Q294" s="39">
        <v>27.289499999999997</v>
      </c>
      <c r="R294" s="39">
        <v>0</v>
      </c>
      <c r="S294" s="39">
        <v>0</v>
      </c>
      <c r="T294" s="39">
        <v>0</v>
      </c>
      <c r="U294" s="39">
        <v>0</v>
      </c>
      <c r="V294" s="39">
        <v>0.2</v>
      </c>
      <c r="W294" s="39">
        <v>0</v>
      </c>
      <c r="X294" s="39">
        <v>23.6724195</v>
      </c>
      <c r="Y294" s="31">
        <f t="shared" ref="Y294:Y309" si="124">E294*100000</f>
        <v>15689561.949999997</v>
      </c>
      <c r="Z294" s="32">
        <f t="shared" ref="Z294:Z310" si="125">Y294*6</f>
        <v>94137371.699999988</v>
      </c>
    </row>
    <row r="295" spans="1:26" s="10" customFormat="1" ht="27.95" customHeight="1">
      <c r="A295" s="2">
        <v>2</v>
      </c>
      <c r="B295" s="12" t="s">
        <v>89</v>
      </c>
      <c r="C295" s="32">
        <v>10</v>
      </c>
      <c r="D295" s="32">
        <v>10</v>
      </c>
      <c r="E295" s="37">
        <f t="shared" si="123"/>
        <v>74.794928000000013</v>
      </c>
      <c r="F295" s="43">
        <v>40.78</v>
      </c>
      <c r="G295" s="353">
        <f t="shared" si="121"/>
        <v>22.663300000000003</v>
      </c>
      <c r="H295" s="39">
        <v>2.2000000000000002</v>
      </c>
      <c r="I295" s="39">
        <v>0.65</v>
      </c>
      <c r="J295" s="39">
        <v>0</v>
      </c>
      <c r="K295" s="39">
        <v>6.8748000000000005</v>
      </c>
      <c r="L295" s="39">
        <v>0</v>
      </c>
      <c r="M295" s="39">
        <v>0</v>
      </c>
      <c r="N295" s="39">
        <v>0</v>
      </c>
      <c r="O295" s="39">
        <v>0</v>
      </c>
      <c r="P295" s="39">
        <v>0</v>
      </c>
      <c r="Q295" s="39">
        <v>12.638500000000001</v>
      </c>
      <c r="R295" s="39">
        <v>0</v>
      </c>
      <c r="S295" s="39">
        <v>0</v>
      </c>
      <c r="T295" s="39">
        <v>0</v>
      </c>
      <c r="U295" s="39">
        <v>0</v>
      </c>
      <c r="V295" s="39">
        <v>0.3</v>
      </c>
      <c r="W295" s="39">
        <v>0</v>
      </c>
      <c r="X295" s="39">
        <v>11.351628000000002</v>
      </c>
      <c r="Y295" s="31">
        <f t="shared" si="124"/>
        <v>7479492.8000000017</v>
      </c>
      <c r="Z295" s="32">
        <f t="shared" si="125"/>
        <v>44876956.800000012</v>
      </c>
    </row>
    <row r="296" spans="1:26" s="10" customFormat="1" ht="27.95" customHeight="1">
      <c r="A296" s="2">
        <v>3</v>
      </c>
      <c r="B296" s="12" t="s">
        <v>690</v>
      </c>
      <c r="C296" s="32">
        <v>17</v>
      </c>
      <c r="D296" s="32">
        <v>17</v>
      </c>
      <c r="E296" s="37">
        <f t="shared" si="123"/>
        <v>79.158079000000001</v>
      </c>
      <c r="F296" s="43">
        <v>47.34</v>
      </c>
      <c r="G296" s="353">
        <f t="shared" si="121"/>
        <v>19.548399999999997</v>
      </c>
      <c r="H296" s="39">
        <v>0</v>
      </c>
      <c r="I296" s="39">
        <v>1.1499999999999999</v>
      </c>
      <c r="J296" s="39">
        <v>0</v>
      </c>
      <c r="K296" s="39">
        <v>3.7213999999999996</v>
      </c>
      <c r="L296" s="39">
        <v>0</v>
      </c>
      <c r="M296" s="39">
        <v>0</v>
      </c>
      <c r="N296" s="39">
        <v>0</v>
      </c>
      <c r="O296" s="39">
        <v>0</v>
      </c>
      <c r="P296" s="39">
        <v>0</v>
      </c>
      <c r="Q296" s="39">
        <v>14.376999999999995</v>
      </c>
      <c r="R296" s="39">
        <v>0</v>
      </c>
      <c r="S296" s="39">
        <v>0</v>
      </c>
      <c r="T296" s="39">
        <v>0</v>
      </c>
      <c r="U296" s="39">
        <v>0</v>
      </c>
      <c r="V296" s="39">
        <v>0.3</v>
      </c>
      <c r="W296" s="39">
        <v>0</v>
      </c>
      <c r="X296" s="39">
        <v>12.269678999999993</v>
      </c>
      <c r="Y296" s="31">
        <f t="shared" si="124"/>
        <v>7915807.9000000004</v>
      </c>
      <c r="Z296" s="32">
        <f t="shared" si="125"/>
        <v>47494847.400000006</v>
      </c>
    </row>
    <row r="297" spans="1:26" s="10" customFormat="1" ht="27.95" customHeight="1">
      <c r="A297" s="2">
        <v>4</v>
      </c>
      <c r="B297" s="12" t="s">
        <v>691</v>
      </c>
      <c r="C297" s="32">
        <v>65</v>
      </c>
      <c r="D297" s="32">
        <v>65</v>
      </c>
      <c r="E297" s="37">
        <f t="shared" si="123"/>
        <v>294.16920650000003</v>
      </c>
      <c r="F297" s="43">
        <v>174.25</v>
      </c>
      <c r="G297" s="353">
        <f t="shared" si="121"/>
        <v>74.99240000000006</v>
      </c>
      <c r="H297" s="39">
        <v>0</v>
      </c>
      <c r="I297" s="39">
        <v>3.25</v>
      </c>
      <c r="J297" s="39">
        <v>0</v>
      </c>
      <c r="K297" s="39">
        <v>13.677900000000001</v>
      </c>
      <c r="L297" s="39">
        <v>0</v>
      </c>
      <c r="M297" s="39">
        <v>0</v>
      </c>
      <c r="N297" s="39">
        <v>0</v>
      </c>
      <c r="O297" s="39">
        <v>0</v>
      </c>
      <c r="P297" s="39">
        <v>0.6</v>
      </c>
      <c r="Q297" s="39">
        <v>56.964500000000065</v>
      </c>
      <c r="R297" s="39">
        <v>0</v>
      </c>
      <c r="S297" s="39">
        <v>0</v>
      </c>
      <c r="T297" s="39">
        <v>0</v>
      </c>
      <c r="U297" s="39">
        <v>0</v>
      </c>
      <c r="V297" s="39">
        <v>0.5</v>
      </c>
      <c r="W297" s="39">
        <v>0</v>
      </c>
      <c r="X297" s="39">
        <v>44.926806499999991</v>
      </c>
      <c r="Y297" s="31">
        <f t="shared" si="124"/>
        <v>29416920.650000002</v>
      </c>
      <c r="Z297" s="32">
        <f t="shared" si="125"/>
        <v>176501523.90000001</v>
      </c>
    </row>
    <row r="298" spans="1:26" s="10" customFormat="1" ht="27.95" customHeight="1">
      <c r="A298" s="2">
        <v>5</v>
      </c>
      <c r="B298" s="12" t="s">
        <v>90</v>
      </c>
      <c r="C298" s="32">
        <v>23</v>
      </c>
      <c r="D298" s="32">
        <v>23</v>
      </c>
      <c r="E298" s="37">
        <f t="shared" si="123"/>
        <v>105.02557449999999</v>
      </c>
      <c r="F298" s="43">
        <v>62.24</v>
      </c>
      <c r="G298" s="353">
        <f t="shared" si="121"/>
        <v>26.550199999999997</v>
      </c>
      <c r="H298" s="39">
        <v>0</v>
      </c>
      <c r="I298" s="39">
        <v>1.45</v>
      </c>
      <c r="J298" s="39">
        <v>0</v>
      </c>
      <c r="K298" s="39">
        <v>5.3967000000000009</v>
      </c>
      <c r="L298" s="39">
        <v>0</v>
      </c>
      <c r="M298" s="39">
        <v>0</v>
      </c>
      <c r="N298" s="39">
        <v>0</v>
      </c>
      <c r="O298" s="39">
        <v>0</v>
      </c>
      <c r="P298" s="39">
        <v>0</v>
      </c>
      <c r="Q298" s="39">
        <v>19.403499999999994</v>
      </c>
      <c r="R298" s="39">
        <v>0</v>
      </c>
      <c r="S298" s="39">
        <v>0</v>
      </c>
      <c r="T298" s="39">
        <v>0</v>
      </c>
      <c r="U298" s="39">
        <v>0</v>
      </c>
      <c r="V298" s="39">
        <v>0.3</v>
      </c>
      <c r="W298" s="39">
        <v>0</v>
      </c>
      <c r="X298" s="39">
        <v>16.235374499999992</v>
      </c>
      <c r="Y298" s="31">
        <f t="shared" si="124"/>
        <v>10502557.449999999</v>
      </c>
      <c r="Z298" s="32">
        <f t="shared" si="125"/>
        <v>63015344.699999996</v>
      </c>
    </row>
    <row r="299" spans="1:26" s="10" customFormat="1" ht="27.95" customHeight="1">
      <c r="A299" s="2">
        <v>6</v>
      </c>
      <c r="B299" s="12" t="s">
        <v>692</v>
      </c>
      <c r="C299" s="32">
        <v>44</v>
      </c>
      <c r="D299" s="32">
        <v>44</v>
      </c>
      <c r="E299" s="37">
        <f t="shared" si="123"/>
        <v>323.91923700000001</v>
      </c>
      <c r="F299" s="43">
        <v>136.68</v>
      </c>
      <c r="G299" s="353">
        <f t="shared" si="121"/>
        <v>150.52420000000004</v>
      </c>
      <c r="H299" s="39">
        <v>0</v>
      </c>
      <c r="I299" s="39">
        <v>3</v>
      </c>
      <c r="J299" s="39">
        <v>0</v>
      </c>
      <c r="K299" s="39">
        <v>16.554200000000002</v>
      </c>
      <c r="L299" s="39">
        <v>0</v>
      </c>
      <c r="M299" s="39">
        <v>0</v>
      </c>
      <c r="N299" s="39">
        <v>0</v>
      </c>
      <c r="O299" s="39">
        <v>0</v>
      </c>
      <c r="P299" s="39">
        <v>0.2</v>
      </c>
      <c r="Q299" s="39">
        <v>89.789000000000044</v>
      </c>
      <c r="R299" s="39">
        <v>15.281000000000001</v>
      </c>
      <c r="S299" s="39">
        <v>25.2</v>
      </c>
      <c r="T299" s="39">
        <v>0</v>
      </c>
      <c r="U299" s="39">
        <v>0</v>
      </c>
      <c r="V299" s="39">
        <v>0.5</v>
      </c>
      <c r="W299" s="39">
        <v>0</v>
      </c>
      <c r="X299" s="39">
        <v>36.715036999999988</v>
      </c>
      <c r="Y299" s="31">
        <f t="shared" si="124"/>
        <v>32391923.699999999</v>
      </c>
      <c r="Z299" s="32">
        <f t="shared" si="125"/>
        <v>194351542.19999999</v>
      </c>
    </row>
    <row r="300" spans="1:26" s="10" customFormat="1" ht="27.95" customHeight="1">
      <c r="A300" s="2">
        <v>7</v>
      </c>
      <c r="B300" s="12" t="s">
        <v>693</v>
      </c>
      <c r="C300" s="32">
        <v>23</v>
      </c>
      <c r="D300" s="32">
        <v>23</v>
      </c>
      <c r="E300" s="37">
        <f t="shared" si="123"/>
        <v>175.81207900000001</v>
      </c>
      <c r="F300" s="43">
        <v>76.13</v>
      </c>
      <c r="G300" s="353">
        <f t="shared" si="121"/>
        <v>79.375400000000013</v>
      </c>
      <c r="H300" s="39">
        <v>0</v>
      </c>
      <c r="I300" s="39">
        <v>1</v>
      </c>
      <c r="J300" s="39">
        <v>0</v>
      </c>
      <c r="K300" s="39">
        <v>9.2814000000000032</v>
      </c>
      <c r="L300" s="39">
        <v>0</v>
      </c>
      <c r="M300" s="39">
        <v>0</v>
      </c>
      <c r="N300" s="39">
        <v>0</v>
      </c>
      <c r="O300" s="39">
        <v>0</v>
      </c>
      <c r="P300" s="39">
        <v>0.2</v>
      </c>
      <c r="Q300" s="39">
        <v>47.348000000000006</v>
      </c>
      <c r="R300" s="39">
        <v>6.1459999999999999</v>
      </c>
      <c r="S300" s="39">
        <v>15</v>
      </c>
      <c r="T300" s="39">
        <v>0</v>
      </c>
      <c r="U300" s="39">
        <v>0</v>
      </c>
      <c r="V300" s="39">
        <v>0.4</v>
      </c>
      <c r="W300" s="39">
        <v>0</v>
      </c>
      <c r="X300" s="39">
        <v>20.306679000000003</v>
      </c>
      <c r="Y300" s="31">
        <f t="shared" si="124"/>
        <v>17581207.900000002</v>
      </c>
      <c r="Z300" s="32">
        <f t="shared" si="125"/>
        <v>105487247.40000001</v>
      </c>
    </row>
    <row r="301" spans="1:26" s="10" customFormat="1" ht="27.95" customHeight="1">
      <c r="A301" s="2">
        <v>8</v>
      </c>
      <c r="B301" s="12" t="s">
        <v>694</v>
      </c>
      <c r="C301" s="32">
        <v>22</v>
      </c>
      <c r="D301" s="32">
        <v>22</v>
      </c>
      <c r="E301" s="37">
        <f t="shared" si="123"/>
        <v>182.41005750000005</v>
      </c>
      <c r="F301" s="43">
        <v>76.930000000000007</v>
      </c>
      <c r="G301" s="353">
        <f t="shared" si="121"/>
        <v>84.352500000000006</v>
      </c>
      <c r="H301" s="39">
        <v>4.4000000000000004</v>
      </c>
      <c r="I301" s="39">
        <v>1.35</v>
      </c>
      <c r="J301" s="39">
        <v>0</v>
      </c>
      <c r="K301" s="39">
        <v>11.624499999999998</v>
      </c>
      <c r="L301" s="39">
        <v>0</v>
      </c>
      <c r="M301" s="39">
        <v>0</v>
      </c>
      <c r="N301" s="39">
        <v>0</v>
      </c>
      <c r="O301" s="39">
        <v>0</v>
      </c>
      <c r="P301" s="39">
        <v>0.2</v>
      </c>
      <c r="Q301" s="39">
        <v>48.56600000000001</v>
      </c>
      <c r="R301" s="39">
        <v>4.3120000000000003</v>
      </c>
      <c r="S301" s="39">
        <v>13.5</v>
      </c>
      <c r="T301" s="39">
        <v>0</v>
      </c>
      <c r="U301" s="39">
        <v>0</v>
      </c>
      <c r="V301" s="39">
        <v>0.4</v>
      </c>
      <c r="W301" s="39">
        <v>0</v>
      </c>
      <c r="X301" s="39">
        <v>21.127557500000009</v>
      </c>
      <c r="Y301" s="31">
        <f t="shared" si="124"/>
        <v>18241005.750000004</v>
      </c>
      <c r="Z301" s="32">
        <f t="shared" si="125"/>
        <v>109446034.50000003</v>
      </c>
    </row>
    <row r="302" spans="1:26" s="10" customFormat="1" ht="27.95" customHeight="1">
      <c r="A302" s="2">
        <v>9</v>
      </c>
      <c r="B302" s="12" t="s">
        <v>91</v>
      </c>
      <c r="C302" s="32">
        <v>14</v>
      </c>
      <c r="D302" s="32">
        <v>14</v>
      </c>
      <c r="E302" s="37">
        <f t="shared" si="123"/>
        <v>114.09458749999999</v>
      </c>
      <c r="F302" s="43">
        <v>47.99</v>
      </c>
      <c r="G302" s="353">
        <f t="shared" si="121"/>
        <v>52.92049999999999</v>
      </c>
      <c r="H302" s="39">
        <v>2.8</v>
      </c>
      <c r="I302" s="39">
        <v>0.95</v>
      </c>
      <c r="J302" s="39">
        <v>0</v>
      </c>
      <c r="K302" s="39">
        <v>7.1624999999999996</v>
      </c>
      <c r="L302" s="39">
        <v>0</v>
      </c>
      <c r="M302" s="39">
        <v>0</v>
      </c>
      <c r="N302" s="39">
        <v>0</v>
      </c>
      <c r="O302" s="39">
        <v>0</v>
      </c>
      <c r="P302" s="39">
        <v>0.2</v>
      </c>
      <c r="Q302" s="39">
        <v>28.111999999999998</v>
      </c>
      <c r="R302" s="39">
        <v>3.6960000000000002</v>
      </c>
      <c r="S302" s="39">
        <v>9.6999999999999993</v>
      </c>
      <c r="T302" s="39">
        <v>0</v>
      </c>
      <c r="U302" s="39">
        <v>0</v>
      </c>
      <c r="V302" s="39">
        <v>0.3</v>
      </c>
      <c r="W302" s="39">
        <v>0</v>
      </c>
      <c r="X302" s="39">
        <v>13.184087499999999</v>
      </c>
      <c r="Y302" s="31">
        <f t="shared" si="124"/>
        <v>11409458.749999998</v>
      </c>
      <c r="Z302" s="32">
        <f t="shared" si="125"/>
        <v>68456752.499999985</v>
      </c>
    </row>
    <row r="303" spans="1:26" s="10" customFormat="1" ht="27.95" customHeight="1">
      <c r="A303" s="2">
        <v>10</v>
      </c>
      <c r="B303" s="12" t="s">
        <v>695</v>
      </c>
      <c r="C303" s="32">
        <v>19</v>
      </c>
      <c r="D303" s="32">
        <v>19</v>
      </c>
      <c r="E303" s="37">
        <f t="shared" si="123"/>
        <v>121.58365450000001</v>
      </c>
      <c r="F303" s="43">
        <v>68.680000000000007</v>
      </c>
      <c r="G303" s="353">
        <f t="shared" si="121"/>
        <v>34.053200000000004</v>
      </c>
      <c r="H303" s="39">
        <v>0</v>
      </c>
      <c r="I303" s="39">
        <v>1.45</v>
      </c>
      <c r="J303" s="39">
        <v>0</v>
      </c>
      <c r="K303" s="39">
        <v>10.084699999999998</v>
      </c>
      <c r="L303" s="39">
        <v>0</v>
      </c>
      <c r="M303" s="39">
        <v>0</v>
      </c>
      <c r="N303" s="39">
        <v>0</v>
      </c>
      <c r="O303" s="39">
        <v>0</v>
      </c>
      <c r="P303" s="39">
        <v>0.2</v>
      </c>
      <c r="Q303" s="39">
        <v>22.018500000000007</v>
      </c>
      <c r="R303" s="39">
        <v>0</v>
      </c>
      <c r="S303" s="39">
        <v>0</v>
      </c>
      <c r="T303" s="39">
        <v>0</v>
      </c>
      <c r="U303" s="39">
        <v>0</v>
      </c>
      <c r="V303" s="39">
        <v>0.3</v>
      </c>
      <c r="W303" s="39">
        <v>0</v>
      </c>
      <c r="X303" s="39">
        <v>18.850454499999998</v>
      </c>
      <c r="Y303" s="31">
        <f t="shared" si="124"/>
        <v>12158365.450000001</v>
      </c>
      <c r="Z303" s="32">
        <f t="shared" si="125"/>
        <v>72950192.700000003</v>
      </c>
    </row>
    <row r="304" spans="1:26" s="10" customFormat="1" ht="27.95" customHeight="1">
      <c r="A304" s="2">
        <v>11</v>
      </c>
      <c r="B304" s="12" t="s">
        <v>92</v>
      </c>
      <c r="C304" s="32">
        <v>14</v>
      </c>
      <c r="D304" s="32">
        <v>14</v>
      </c>
      <c r="E304" s="37">
        <f t="shared" si="123"/>
        <v>78.413254999999992</v>
      </c>
      <c r="F304" s="43">
        <v>45.39</v>
      </c>
      <c r="G304" s="353">
        <f t="shared" si="121"/>
        <v>20.724999999999998</v>
      </c>
      <c r="H304" s="39">
        <v>0</v>
      </c>
      <c r="I304" s="39">
        <v>1.1499999999999999</v>
      </c>
      <c r="J304" s="39">
        <v>0</v>
      </c>
      <c r="K304" s="39">
        <v>5.7929999999999993</v>
      </c>
      <c r="L304" s="39">
        <v>0</v>
      </c>
      <c r="M304" s="39">
        <v>0</v>
      </c>
      <c r="N304" s="39">
        <v>0</v>
      </c>
      <c r="O304" s="39">
        <v>0</v>
      </c>
      <c r="P304" s="39">
        <v>0</v>
      </c>
      <c r="Q304" s="39">
        <v>13.481999999999996</v>
      </c>
      <c r="R304" s="39">
        <v>0</v>
      </c>
      <c r="S304" s="39">
        <v>0</v>
      </c>
      <c r="T304" s="39">
        <v>0</v>
      </c>
      <c r="U304" s="39">
        <v>0</v>
      </c>
      <c r="V304" s="39">
        <v>0.3</v>
      </c>
      <c r="W304" s="39">
        <v>0</v>
      </c>
      <c r="X304" s="39">
        <v>12.298254999999996</v>
      </c>
      <c r="Y304" s="31">
        <f t="shared" si="124"/>
        <v>7841325.4999999991</v>
      </c>
      <c r="Z304" s="32">
        <f t="shared" si="125"/>
        <v>47047952.999999993</v>
      </c>
    </row>
    <row r="305" spans="1:26" s="10" customFormat="1" ht="27.95" customHeight="1">
      <c r="A305" s="2">
        <v>12</v>
      </c>
      <c r="B305" s="12" t="s">
        <v>93</v>
      </c>
      <c r="C305" s="32">
        <v>39</v>
      </c>
      <c r="D305" s="32">
        <v>39</v>
      </c>
      <c r="E305" s="37">
        <f t="shared" si="123"/>
        <v>292.85988650000002</v>
      </c>
      <c r="F305" s="43">
        <v>157.07</v>
      </c>
      <c r="G305" s="353">
        <f t="shared" si="121"/>
        <v>90.622910000000019</v>
      </c>
      <c r="H305" s="39">
        <v>0</v>
      </c>
      <c r="I305" s="39">
        <v>2.65</v>
      </c>
      <c r="J305" s="39">
        <v>0.34860000000000002</v>
      </c>
      <c r="K305" s="39">
        <v>32.131300000000003</v>
      </c>
      <c r="L305" s="39">
        <v>0</v>
      </c>
      <c r="M305" s="39">
        <v>0</v>
      </c>
      <c r="N305" s="39">
        <v>0</v>
      </c>
      <c r="O305" s="39">
        <v>0</v>
      </c>
      <c r="P305" s="39">
        <v>0.2</v>
      </c>
      <c r="Q305" s="39">
        <v>53.693010000000008</v>
      </c>
      <c r="R305" s="39">
        <v>0</v>
      </c>
      <c r="S305" s="39">
        <v>0</v>
      </c>
      <c r="T305" s="39">
        <v>0</v>
      </c>
      <c r="U305" s="39">
        <v>0</v>
      </c>
      <c r="V305" s="39">
        <v>1.6</v>
      </c>
      <c r="W305" s="39">
        <v>0</v>
      </c>
      <c r="X305" s="39">
        <v>45.166976500000011</v>
      </c>
      <c r="Y305" s="31">
        <f t="shared" si="124"/>
        <v>29285988.650000002</v>
      </c>
      <c r="Z305" s="32">
        <f t="shared" si="125"/>
        <v>175715931.90000001</v>
      </c>
    </row>
    <row r="306" spans="1:26" s="10" customFormat="1" ht="27.95" customHeight="1">
      <c r="A306" s="2">
        <v>13</v>
      </c>
      <c r="B306" s="12" t="s">
        <v>94</v>
      </c>
      <c r="C306" s="32">
        <v>20</v>
      </c>
      <c r="D306" s="32">
        <v>20</v>
      </c>
      <c r="E306" s="37">
        <f t="shared" si="123"/>
        <v>121.6983425</v>
      </c>
      <c r="F306" s="43">
        <v>69.28</v>
      </c>
      <c r="G306" s="353">
        <f t="shared" si="121"/>
        <v>33.563000000000002</v>
      </c>
      <c r="H306" s="39">
        <v>0</v>
      </c>
      <c r="I306" s="39">
        <v>1.65</v>
      </c>
      <c r="J306" s="39">
        <v>0</v>
      </c>
      <c r="K306" s="39">
        <v>9.3055000000000021</v>
      </c>
      <c r="L306" s="39">
        <v>0</v>
      </c>
      <c r="M306" s="39">
        <v>0</v>
      </c>
      <c r="N306" s="39">
        <v>0</v>
      </c>
      <c r="O306" s="39">
        <v>0</v>
      </c>
      <c r="P306" s="39">
        <v>0.2</v>
      </c>
      <c r="Q306" s="39">
        <v>21.807500000000001</v>
      </c>
      <c r="R306" s="39">
        <v>0</v>
      </c>
      <c r="S306" s="39">
        <v>0</v>
      </c>
      <c r="T306" s="39">
        <v>0</v>
      </c>
      <c r="U306" s="39">
        <v>0</v>
      </c>
      <c r="V306" s="39">
        <v>0.6</v>
      </c>
      <c r="W306" s="39">
        <v>0</v>
      </c>
      <c r="X306" s="39">
        <v>18.855342499999999</v>
      </c>
      <c r="Y306" s="31">
        <f t="shared" si="124"/>
        <v>12169834.25</v>
      </c>
      <c r="Z306" s="32">
        <f t="shared" si="125"/>
        <v>73019005.5</v>
      </c>
    </row>
    <row r="307" spans="1:26" s="10" customFormat="1" ht="27.95" customHeight="1">
      <c r="A307" s="2">
        <v>14</v>
      </c>
      <c r="B307" s="12" t="s">
        <v>95</v>
      </c>
      <c r="C307" s="32">
        <v>26</v>
      </c>
      <c r="D307" s="32">
        <v>26</v>
      </c>
      <c r="E307" s="37">
        <f t="shared" si="123"/>
        <v>171.96855500000001</v>
      </c>
      <c r="F307" s="43">
        <v>96.51</v>
      </c>
      <c r="G307" s="353">
        <f t="shared" si="121"/>
        <v>48.712499999999999</v>
      </c>
      <c r="H307" s="39">
        <v>0</v>
      </c>
      <c r="I307" s="39">
        <v>1.8</v>
      </c>
      <c r="J307" s="39">
        <v>0</v>
      </c>
      <c r="K307" s="39">
        <v>15.502999999999998</v>
      </c>
      <c r="L307" s="39">
        <v>0</v>
      </c>
      <c r="M307" s="39">
        <v>0</v>
      </c>
      <c r="N307" s="39">
        <v>0</v>
      </c>
      <c r="O307" s="39">
        <v>0</v>
      </c>
      <c r="P307" s="39">
        <v>0</v>
      </c>
      <c r="Q307" s="39">
        <v>31.209499999999998</v>
      </c>
      <c r="R307" s="39">
        <v>0</v>
      </c>
      <c r="S307" s="39">
        <v>0</v>
      </c>
      <c r="T307" s="39">
        <v>0</v>
      </c>
      <c r="U307" s="39">
        <v>0</v>
      </c>
      <c r="V307" s="39">
        <v>0.2</v>
      </c>
      <c r="W307" s="39">
        <v>0</v>
      </c>
      <c r="X307" s="39">
        <v>26.746055000000005</v>
      </c>
      <c r="Y307" s="31">
        <f t="shared" si="124"/>
        <v>17196855.5</v>
      </c>
      <c r="Z307" s="32">
        <f t="shared" si="125"/>
        <v>103181133</v>
      </c>
    </row>
    <row r="308" spans="1:26" s="10" customFormat="1" ht="27.95" customHeight="1">
      <c r="A308" s="2">
        <v>15</v>
      </c>
      <c r="B308" s="12" t="s">
        <v>96</v>
      </c>
      <c r="C308" s="32">
        <v>28</v>
      </c>
      <c r="D308" s="32">
        <v>28</v>
      </c>
      <c r="E308" s="37">
        <f t="shared" si="123"/>
        <v>188.7139755</v>
      </c>
      <c r="F308" s="43">
        <v>103.26</v>
      </c>
      <c r="G308" s="353">
        <f t="shared" si="121"/>
        <v>56.408610000000003</v>
      </c>
      <c r="H308" s="39">
        <v>0</v>
      </c>
      <c r="I308" s="39">
        <v>1.5</v>
      </c>
      <c r="J308" s="39">
        <v>0.4466</v>
      </c>
      <c r="K308" s="39">
        <v>18.390699999999999</v>
      </c>
      <c r="L308" s="39">
        <v>0</v>
      </c>
      <c r="M308" s="39">
        <v>0</v>
      </c>
      <c r="N308" s="39">
        <v>0</v>
      </c>
      <c r="O308" s="39">
        <v>0</v>
      </c>
      <c r="P308" s="39">
        <v>0.2</v>
      </c>
      <c r="Q308" s="39">
        <v>34.77131</v>
      </c>
      <c r="R308" s="39">
        <v>0</v>
      </c>
      <c r="S308" s="39">
        <v>0</v>
      </c>
      <c r="T308" s="39">
        <v>0</v>
      </c>
      <c r="U308" s="39">
        <v>0</v>
      </c>
      <c r="V308" s="39">
        <v>1.1000000000000001</v>
      </c>
      <c r="W308" s="39">
        <v>0</v>
      </c>
      <c r="X308" s="39">
        <v>29.045365500000006</v>
      </c>
      <c r="Y308" s="31">
        <f t="shared" si="124"/>
        <v>18871397.550000001</v>
      </c>
      <c r="Z308" s="32">
        <f t="shared" si="125"/>
        <v>113228385.30000001</v>
      </c>
    </row>
    <row r="309" spans="1:26" s="10" customFormat="1" ht="27.95" customHeight="1">
      <c r="A309" s="2">
        <v>16</v>
      </c>
      <c r="B309" s="12" t="s">
        <v>97</v>
      </c>
      <c r="C309" s="32">
        <v>19</v>
      </c>
      <c r="D309" s="32">
        <v>19</v>
      </c>
      <c r="E309" s="37">
        <f t="shared" si="123"/>
        <v>124.89422949999999</v>
      </c>
      <c r="F309" s="43">
        <v>69.53</v>
      </c>
      <c r="G309" s="353">
        <f t="shared" si="121"/>
        <v>35.8217</v>
      </c>
      <c r="H309" s="39">
        <v>0</v>
      </c>
      <c r="I309" s="39">
        <v>1.45</v>
      </c>
      <c r="J309" s="39">
        <v>0</v>
      </c>
      <c r="K309" s="39">
        <v>12.1797</v>
      </c>
      <c r="L309" s="39">
        <v>0</v>
      </c>
      <c r="M309" s="39">
        <v>0</v>
      </c>
      <c r="N309" s="39">
        <v>0</v>
      </c>
      <c r="O309" s="39">
        <v>0</v>
      </c>
      <c r="P309" s="39">
        <v>0.2</v>
      </c>
      <c r="Q309" s="39">
        <v>21.391999999999999</v>
      </c>
      <c r="R309" s="39">
        <v>0</v>
      </c>
      <c r="S309" s="39">
        <v>0</v>
      </c>
      <c r="T309" s="39">
        <v>0</v>
      </c>
      <c r="U309" s="39">
        <v>0</v>
      </c>
      <c r="V309" s="39">
        <v>0.6</v>
      </c>
      <c r="W309" s="39">
        <v>0</v>
      </c>
      <c r="X309" s="39">
        <v>19.542529500000004</v>
      </c>
      <c r="Y309" s="31">
        <f t="shared" si="124"/>
        <v>12489422.949999999</v>
      </c>
      <c r="Z309" s="32">
        <f t="shared" si="125"/>
        <v>74936537.699999988</v>
      </c>
    </row>
    <row r="310" spans="1:26" s="10" customFormat="1" ht="38.25" customHeight="1">
      <c r="A310" s="2">
        <v>17</v>
      </c>
      <c r="B310" s="12" t="s">
        <v>698</v>
      </c>
      <c r="C310" s="32"/>
      <c r="D310" s="32"/>
      <c r="E310" s="37">
        <f>+F310+G310+X310</f>
        <v>22.8</v>
      </c>
      <c r="F310" s="43"/>
      <c r="G310" s="353">
        <f t="shared" si="121"/>
        <v>22.8</v>
      </c>
      <c r="H310" s="39"/>
      <c r="I310" s="39"/>
      <c r="J310" s="39"/>
      <c r="K310" s="39"/>
      <c r="L310" s="39"/>
      <c r="M310" s="39"/>
      <c r="N310" s="39"/>
      <c r="O310" s="39"/>
      <c r="P310" s="39"/>
      <c r="Q310" s="39"/>
      <c r="R310" s="39"/>
      <c r="S310" s="39"/>
      <c r="T310" s="39"/>
      <c r="U310" s="39"/>
      <c r="V310" s="39"/>
      <c r="W310" s="39">
        <f>57*40%</f>
        <v>22.8</v>
      </c>
      <c r="X310" s="39">
        <f>(F310+I310+J310+K310)*23.5/100</f>
        <v>0</v>
      </c>
      <c r="Y310" s="31">
        <f>E310*100000</f>
        <v>2280000</v>
      </c>
      <c r="Z310" s="32">
        <f t="shared" si="125"/>
        <v>13680000</v>
      </c>
    </row>
    <row r="311" spans="1:26" s="10" customFormat="1" ht="27.95" customHeight="1">
      <c r="A311" s="3" t="s">
        <v>720</v>
      </c>
      <c r="B311" s="18" t="s">
        <v>98</v>
      </c>
      <c r="C311" s="30">
        <f t="shared" ref="C311:Z311" si="126">SUM(C312:C319)</f>
        <v>241</v>
      </c>
      <c r="D311" s="30">
        <f t="shared" si="126"/>
        <v>241</v>
      </c>
      <c r="E311" s="41">
        <f t="shared" si="126"/>
        <v>1598.4041164</v>
      </c>
      <c r="F311" s="41">
        <f t="shared" si="126"/>
        <v>826.98</v>
      </c>
      <c r="G311" s="41">
        <f t="shared" si="126"/>
        <v>548.60881000000018</v>
      </c>
      <c r="H311" s="41">
        <f t="shared" si="126"/>
        <v>7.6</v>
      </c>
      <c r="I311" s="41">
        <f t="shared" si="126"/>
        <v>12.399999999999999</v>
      </c>
      <c r="J311" s="41">
        <f t="shared" si="126"/>
        <v>2.0354999999999999</v>
      </c>
      <c r="K311" s="41">
        <f t="shared" si="126"/>
        <v>106.73474000000002</v>
      </c>
      <c r="L311" s="41">
        <f t="shared" si="126"/>
        <v>0</v>
      </c>
      <c r="M311" s="41">
        <f t="shared" si="126"/>
        <v>0</v>
      </c>
      <c r="N311" s="41">
        <f t="shared" si="126"/>
        <v>0</v>
      </c>
      <c r="O311" s="41">
        <f t="shared" si="126"/>
        <v>0</v>
      </c>
      <c r="P311" s="41">
        <f t="shared" si="126"/>
        <v>1.2</v>
      </c>
      <c r="Q311" s="41">
        <f t="shared" si="126"/>
        <v>288.80557000000005</v>
      </c>
      <c r="R311" s="41">
        <f t="shared" si="126"/>
        <v>6.4329999999999998</v>
      </c>
      <c r="S311" s="41">
        <f t="shared" si="126"/>
        <v>32.700000000000003</v>
      </c>
      <c r="T311" s="41">
        <f t="shared" si="126"/>
        <v>0</v>
      </c>
      <c r="U311" s="41">
        <f t="shared" si="126"/>
        <v>0</v>
      </c>
      <c r="V311" s="41">
        <f t="shared" si="126"/>
        <v>6.9</v>
      </c>
      <c r="W311" s="41">
        <f t="shared" si="126"/>
        <v>83.800000000000011</v>
      </c>
      <c r="X311" s="41">
        <f t="shared" si="126"/>
        <v>222.8153064</v>
      </c>
      <c r="Y311" s="30">
        <f t="shared" si="126"/>
        <v>159840411.64000002</v>
      </c>
      <c r="Z311" s="30">
        <f t="shared" si="126"/>
        <v>959042469.84000003</v>
      </c>
    </row>
    <row r="312" spans="1:26" s="10" customFormat="1" ht="27.95" customHeight="1">
      <c r="A312" s="2">
        <v>1</v>
      </c>
      <c r="B312" s="12" t="s">
        <v>99</v>
      </c>
      <c r="C312" s="32">
        <v>18</v>
      </c>
      <c r="D312" s="32">
        <v>18</v>
      </c>
      <c r="E312" s="37">
        <f t="shared" ref="E312:E318" si="127">+F312+G312+X312</f>
        <v>114.19611</v>
      </c>
      <c r="F312" s="43">
        <v>65.09</v>
      </c>
      <c r="G312" s="353">
        <f t="shared" si="121"/>
        <v>31.295460000000002</v>
      </c>
      <c r="H312" s="39">
        <v>3.6</v>
      </c>
      <c r="I312" s="39">
        <v>1.2</v>
      </c>
      <c r="J312" s="39">
        <v>0.44819999999999999</v>
      </c>
      <c r="K312" s="39">
        <v>9.0518000000000001</v>
      </c>
      <c r="L312" s="39">
        <v>0</v>
      </c>
      <c r="M312" s="39">
        <v>0</v>
      </c>
      <c r="N312" s="39">
        <v>0</v>
      </c>
      <c r="O312" s="39">
        <v>0</v>
      </c>
      <c r="P312" s="39">
        <v>0.2</v>
      </c>
      <c r="Q312" s="39">
        <v>16.495460000000001</v>
      </c>
      <c r="R312" s="39">
        <v>0</v>
      </c>
      <c r="S312" s="39">
        <v>0</v>
      </c>
      <c r="T312" s="39">
        <v>0</v>
      </c>
      <c r="U312" s="39">
        <v>0</v>
      </c>
      <c r="V312" s="39">
        <v>0.3</v>
      </c>
      <c r="W312" s="39">
        <v>0</v>
      </c>
      <c r="X312" s="39">
        <v>17.810649999999999</v>
      </c>
      <c r="Y312" s="31">
        <f t="shared" ref="Y312:Y319" si="128">E312*100000</f>
        <v>11419611</v>
      </c>
      <c r="Z312" s="32">
        <f t="shared" ref="Z312:Z317" si="129">Y312*6</f>
        <v>68517666</v>
      </c>
    </row>
    <row r="313" spans="1:26" s="10" customFormat="1" ht="27.95" customHeight="1">
      <c r="A313" s="2">
        <v>2</v>
      </c>
      <c r="B313" s="12" t="s">
        <v>100</v>
      </c>
      <c r="C313" s="32">
        <v>31</v>
      </c>
      <c r="D313" s="32">
        <v>31</v>
      </c>
      <c r="E313" s="37">
        <f t="shared" si="127"/>
        <v>194.66053499999998</v>
      </c>
      <c r="F313" s="43">
        <v>112.46</v>
      </c>
      <c r="G313" s="353">
        <f t="shared" si="121"/>
        <v>51.193459999999988</v>
      </c>
      <c r="H313" s="39">
        <v>0</v>
      </c>
      <c r="I313" s="39">
        <v>1.7</v>
      </c>
      <c r="J313" s="39">
        <v>0.44819999999999999</v>
      </c>
      <c r="K313" s="39">
        <v>17.3368</v>
      </c>
      <c r="L313" s="39">
        <v>0</v>
      </c>
      <c r="M313" s="39">
        <v>0</v>
      </c>
      <c r="N313" s="39">
        <v>0</v>
      </c>
      <c r="O313" s="39">
        <v>0</v>
      </c>
      <c r="P313" s="39">
        <v>0.2</v>
      </c>
      <c r="Q313" s="39">
        <v>31.208459999999988</v>
      </c>
      <c r="R313" s="39">
        <v>0</v>
      </c>
      <c r="S313" s="39">
        <v>0</v>
      </c>
      <c r="T313" s="39">
        <v>0</v>
      </c>
      <c r="U313" s="39">
        <v>0</v>
      </c>
      <c r="V313" s="39">
        <v>0.3</v>
      </c>
      <c r="W313" s="39">
        <v>0</v>
      </c>
      <c r="X313" s="39">
        <v>31.007074999999993</v>
      </c>
      <c r="Y313" s="31">
        <f t="shared" si="128"/>
        <v>19466053.5</v>
      </c>
      <c r="Z313" s="32">
        <f t="shared" si="129"/>
        <v>116796321</v>
      </c>
    </row>
    <row r="314" spans="1:26" s="10" customFormat="1" ht="27.95" customHeight="1">
      <c r="A314" s="2">
        <v>3</v>
      </c>
      <c r="B314" s="12" t="s">
        <v>101</v>
      </c>
      <c r="C314" s="32">
        <v>59</v>
      </c>
      <c r="D314" s="32">
        <v>59</v>
      </c>
      <c r="E314" s="37">
        <f t="shared" si="127"/>
        <v>292.37001150000003</v>
      </c>
      <c r="F314" s="43">
        <v>177.62</v>
      </c>
      <c r="G314" s="353">
        <f t="shared" si="121"/>
        <v>68.755600000000015</v>
      </c>
      <c r="H314" s="39">
        <v>0</v>
      </c>
      <c r="I314" s="39">
        <v>2.4</v>
      </c>
      <c r="J314" s="39">
        <v>0.24900000000000003</v>
      </c>
      <c r="K314" s="39">
        <v>15.451900000000002</v>
      </c>
      <c r="L314" s="39">
        <v>0</v>
      </c>
      <c r="M314" s="39">
        <v>0</v>
      </c>
      <c r="N314" s="39">
        <v>0</v>
      </c>
      <c r="O314" s="39">
        <v>0</v>
      </c>
      <c r="P314" s="39">
        <v>0.2</v>
      </c>
      <c r="Q314" s="39">
        <v>50.054700000000004</v>
      </c>
      <c r="R314" s="39">
        <v>0</v>
      </c>
      <c r="S314" s="39">
        <v>0</v>
      </c>
      <c r="T314" s="39">
        <v>0</v>
      </c>
      <c r="U314" s="39">
        <v>0</v>
      </c>
      <c r="V314" s="39">
        <v>0.4</v>
      </c>
      <c r="W314" s="39">
        <v>0</v>
      </c>
      <c r="X314" s="39">
        <v>45.994411500000012</v>
      </c>
      <c r="Y314" s="31">
        <f t="shared" si="128"/>
        <v>29237001.150000002</v>
      </c>
      <c r="Z314" s="32">
        <f t="shared" si="129"/>
        <v>175422006.90000001</v>
      </c>
    </row>
    <row r="315" spans="1:26" s="10" customFormat="1" ht="27.95" customHeight="1">
      <c r="A315" s="2">
        <v>4</v>
      </c>
      <c r="B315" s="12" t="s">
        <v>102</v>
      </c>
      <c r="C315" s="32">
        <v>34</v>
      </c>
      <c r="D315" s="32">
        <v>34</v>
      </c>
      <c r="E315" s="37">
        <f t="shared" si="127"/>
        <v>244.82297950000006</v>
      </c>
      <c r="F315" s="43">
        <v>109.42</v>
      </c>
      <c r="G315" s="353">
        <f t="shared" si="121"/>
        <v>106.87170000000006</v>
      </c>
      <c r="H315" s="39">
        <v>0</v>
      </c>
      <c r="I315" s="39">
        <v>1.35</v>
      </c>
      <c r="J315" s="39">
        <v>0</v>
      </c>
      <c r="K315" s="39">
        <v>10.639699999999999</v>
      </c>
      <c r="L315" s="39">
        <v>0</v>
      </c>
      <c r="M315" s="39">
        <v>0</v>
      </c>
      <c r="N315" s="39">
        <v>0</v>
      </c>
      <c r="O315" s="39">
        <v>0</v>
      </c>
      <c r="P315" s="39">
        <v>0.2</v>
      </c>
      <c r="Q315" s="39">
        <v>67.949000000000041</v>
      </c>
      <c r="R315" s="39">
        <v>6.4329999999999998</v>
      </c>
      <c r="S315" s="39">
        <v>19.899999999999999</v>
      </c>
      <c r="T315" s="39">
        <v>0</v>
      </c>
      <c r="U315" s="39">
        <v>0</v>
      </c>
      <c r="V315" s="39">
        <v>0.4</v>
      </c>
      <c r="W315" s="39">
        <v>0</v>
      </c>
      <c r="X315" s="39">
        <v>28.5312795</v>
      </c>
      <c r="Y315" s="31">
        <f t="shared" si="128"/>
        <v>24482297.950000007</v>
      </c>
      <c r="Z315" s="32">
        <f t="shared" si="129"/>
        <v>146893787.70000005</v>
      </c>
    </row>
    <row r="316" spans="1:26" s="10" customFormat="1" ht="28.5" customHeight="1">
      <c r="A316" s="2">
        <v>5</v>
      </c>
      <c r="B316" s="12" t="s">
        <v>696</v>
      </c>
      <c r="C316" s="32">
        <v>20</v>
      </c>
      <c r="D316" s="32">
        <v>20</v>
      </c>
      <c r="E316" s="37">
        <f t="shared" si="127"/>
        <v>163.9931014</v>
      </c>
      <c r="F316" s="43">
        <v>69.430000000000007</v>
      </c>
      <c r="G316" s="353">
        <f t="shared" si="121"/>
        <v>75.401849999999996</v>
      </c>
      <c r="H316" s="39">
        <v>4</v>
      </c>
      <c r="I316" s="39">
        <v>2.0499999999999998</v>
      </c>
      <c r="J316" s="39">
        <v>0.34229999999999999</v>
      </c>
      <c r="K316" s="39">
        <v>9.7149399999999968</v>
      </c>
      <c r="L316" s="39">
        <v>0</v>
      </c>
      <c r="M316" s="39">
        <v>0</v>
      </c>
      <c r="N316" s="39">
        <v>0</v>
      </c>
      <c r="O316" s="39">
        <v>0</v>
      </c>
      <c r="P316" s="39">
        <v>0.2</v>
      </c>
      <c r="Q316" s="39">
        <v>41.294610000000006</v>
      </c>
      <c r="R316" s="39">
        <v>0</v>
      </c>
      <c r="S316" s="39">
        <v>12.8</v>
      </c>
      <c r="T316" s="39">
        <v>0</v>
      </c>
      <c r="U316" s="39">
        <v>0</v>
      </c>
      <c r="V316" s="39">
        <v>5</v>
      </c>
      <c r="W316" s="39">
        <v>0</v>
      </c>
      <c r="X316" s="39">
        <v>19.161251399999994</v>
      </c>
      <c r="Y316" s="31">
        <f t="shared" si="128"/>
        <v>16399310.140000001</v>
      </c>
      <c r="Z316" s="32">
        <f t="shared" si="129"/>
        <v>98395860.840000004</v>
      </c>
    </row>
    <row r="317" spans="1:26" s="10" customFormat="1" ht="30" customHeight="1">
      <c r="A317" s="2">
        <v>6</v>
      </c>
      <c r="B317" s="12" t="s">
        <v>697</v>
      </c>
      <c r="C317" s="32">
        <v>53</v>
      </c>
      <c r="D317" s="32">
        <v>53</v>
      </c>
      <c r="E317" s="37">
        <f t="shared" si="127"/>
        <v>349.50893000000002</v>
      </c>
      <c r="F317" s="43">
        <v>201.52</v>
      </c>
      <c r="G317" s="353">
        <f t="shared" si="121"/>
        <v>92.342340000000007</v>
      </c>
      <c r="H317" s="39">
        <v>0</v>
      </c>
      <c r="I317" s="39">
        <v>2.2000000000000002</v>
      </c>
      <c r="J317" s="39">
        <v>0.54779999999999995</v>
      </c>
      <c r="K317" s="39">
        <v>32.52620000000001</v>
      </c>
      <c r="L317" s="39">
        <v>0</v>
      </c>
      <c r="M317" s="39">
        <v>0</v>
      </c>
      <c r="N317" s="39">
        <v>0</v>
      </c>
      <c r="O317" s="39">
        <v>0</v>
      </c>
      <c r="P317" s="39">
        <v>0</v>
      </c>
      <c r="Q317" s="39">
        <v>56.768340000000002</v>
      </c>
      <c r="R317" s="39">
        <v>0</v>
      </c>
      <c r="S317" s="39">
        <v>0</v>
      </c>
      <c r="T317" s="39">
        <v>0</v>
      </c>
      <c r="U317" s="39">
        <v>0</v>
      </c>
      <c r="V317" s="39">
        <v>0.3</v>
      </c>
      <c r="W317" s="39">
        <v>0</v>
      </c>
      <c r="X317" s="39">
        <v>55.646590000000003</v>
      </c>
      <c r="Y317" s="31">
        <f t="shared" si="128"/>
        <v>34950893</v>
      </c>
      <c r="Z317" s="32">
        <f t="shared" si="129"/>
        <v>209705358</v>
      </c>
    </row>
    <row r="318" spans="1:26" s="10" customFormat="1" ht="28.5" customHeight="1">
      <c r="A318" s="2">
        <v>7</v>
      </c>
      <c r="B318" s="12" t="s">
        <v>103</v>
      </c>
      <c r="C318" s="32">
        <v>26</v>
      </c>
      <c r="D318" s="32">
        <v>26</v>
      </c>
      <c r="E318" s="37">
        <f t="shared" si="127"/>
        <v>155.052449</v>
      </c>
      <c r="F318" s="43">
        <v>91.44</v>
      </c>
      <c r="G318" s="353">
        <f t="shared" si="121"/>
        <v>38.948400000000007</v>
      </c>
      <c r="H318" s="39">
        <v>0</v>
      </c>
      <c r="I318" s="39">
        <v>1.5</v>
      </c>
      <c r="J318" s="39">
        <v>0</v>
      </c>
      <c r="K318" s="39">
        <v>12.013400000000001</v>
      </c>
      <c r="L318" s="39">
        <v>0</v>
      </c>
      <c r="M318" s="39">
        <v>0</v>
      </c>
      <c r="N318" s="39">
        <v>0</v>
      </c>
      <c r="O318" s="39">
        <v>0</v>
      </c>
      <c r="P318" s="39">
        <v>0.2</v>
      </c>
      <c r="Q318" s="39">
        <v>25.035</v>
      </c>
      <c r="R318" s="39">
        <v>0</v>
      </c>
      <c r="S318" s="39">
        <v>0</v>
      </c>
      <c r="T318" s="39">
        <v>0</v>
      </c>
      <c r="U318" s="39">
        <v>0</v>
      </c>
      <c r="V318" s="39">
        <v>0.2</v>
      </c>
      <c r="W318" s="39">
        <v>0</v>
      </c>
      <c r="X318" s="39">
        <v>24.664049000000002</v>
      </c>
      <c r="Y318" s="31">
        <f t="shared" si="128"/>
        <v>15505244.9</v>
      </c>
      <c r="Z318" s="32">
        <f>Y318*6</f>
        <v>93031469.400000006</v>
      </c>
    </row>
    <row r="319" spans="1:26" s="10" customFormat="1" ht="53.25" customHeight="1">
      <c r="A319" s="2">
        <v>8</v>
      </c>
      <c r="B319" s="12" t="s">
        <v>716</v>
      </c>
      <c r="C319" s="32"/>
      <c r="D319" s="32"/>
      <c r="E319" s="37">
        <f>+F319+G319+X319</f>
        <v>83.800000000000011</v>
      </c>
      <c r="F319" s="43"/>
      <c r="G319" s="353">
        <f t="shared" si="121"/>
        <v>83.800000000000011</v>
      </c>
      <c r="H319" s="39"/>
      <c r="I319" s="39"/>
      <c r="J319" s="39"/>
      <c r="K319" s="39"/>
      <c r="L319" s="39"/>
      <c r="M319" s="39"/>
      <c r="N319" s="39"/>
      <c r="O319" s="39"/>
      <c r="P319" s="39"/>
      <c r="Q319" s="39"/>
      <c r="R319" s="39"/>
      <c r="S319" s="39"/>
      <c r="T319" s="39"/>
      <c r="U319" s="39"/>
      <c r="V319" s="39"/>
      <c r="W319" s="39">
        <f>192*40%+4*1.75</f>
        <v>83.800000000000011</v>
      </c>
      <c r="X319" s="39">
        <f>(F319+I319+J319+K319)*23.5/100</f>
        <v>0</v>
      </c>
      <c r="Y319" s="31">
        <f t="shared" si="128"/>
        <v>8380000.0000000009</v>
      </c>
      <c r="Z319" s="32">
        <f>Y319*6</f>
        <v>50280000.000000007</v>
      </c>
    </row>
    <row r="320" spans="1:26" s="10" customFormat="1" ht="27.95" customHeight="1">
      <c r="A320" s="194" t="s">
        <v>3</v>
      </c>
      <c r="B320" s="47" t="s">
        <v>699</v>
      </c>
      <c r="C320" s="30">
        <v>3</v>
      </c>
      <c r="D320" s="30">
        <v>2</v>
      </c>
      <c r="E320" s="40">
        <f>SUM(E321:E322)</f>
        <v>9.0367499999999996</v>
      </c>
      <c r="F320" s="63">
        <f t="shared" ref="F320:Z320" si="130">SUM(F321:F322)</f>
        <v>6.1899999999999995</v>
      </c>
      <c r="G320" s="63">
        <f t="shared" si="130"/>
        <v>1.4089999999999998</v>
      </c>
      <c r="H320" s="63">
        <f t="shared" si="130"/>
        <v>0</v>
      </c>
      <c r="I320" s="63">
        <f t="shared" si="130"/>
        <v>0.2</v>
      </c>
      <c r="J320" s="63">
        <f t="shared" si="130"/>
        <v>0</v>
      </c>
      <c r="K320" s="63">
        <f t="shared" si="130"/>
        <v>0</v>
      </c>
      <c r="L320" s="63">
        <f t="shared" si="130"/>
        <v>0</v>
      </c>
      <c r="M320" s="63">
        <f t="shared" si="130"/>
        <v>0</v>
      </c>
      <c r="N320" s="63">
        <f t="shared" si="130"/>
        <v>0</v>
      </c>
      <c r="O320" s="63">
        <f t="shared" si="130"/>
        <v>0</v>
      </c>
      <c r="P320" s="63">
        <f t="shared" si="130"/>
        <v>0</v>
      </c>
      <c r="Q320" s="63">
        <f t="shared" si="130"/>
        <v>1.0589999999999999</v>
      </c>
      <c r="R320" s="63">
        <f t="shared" si="130"/>
        <v>0</v>
      </c>
      <c r="S320" s="63">
        <f t="shared" si="130"/>
        <v>0</v>
      </c>
      <c r="T320" s="63">
        <f t="shared" si="130"/>
        <v>0</v>
      </c>
      <c r="U320" s="63">
        <f t="shared" si="130"/>
        <v>0</v>
      </c>
      <c r="V320" s="63">
        <f t="shared" si="130"/>
        <v>0.15</v>
      </c>
      <c r="W320" s="63">
        <f t="shared" si="130"/>
        <v>0</v>
      </c>
      <c r="X320" s="63">
        <f t="shared" si="130"/>
        <v>1.4377500000000001</v>
      </c>
      <c r="Y320" s="33">
        <f t="shared" si="130"/>
        <v>903675</v>
      </c>
      <c r="Z320" s="33">
        <f t="shared" si="130"/>
        <v>5422050</v>
      </c>
    </row>
    <row r="321" spans="1:29" s="10" customFormat="1" ht="27.95" customHeight="1">
      <c r="A321" s="60">
        <v>1</v>
      </c>
      <c r="B321" s="46" t="s">
        <v>700</v>
      </c>
      <c r="C321" s="30"/>
      <c r="D321" s="30"/>
      <c r="E321" s="37">
        <f>+F321+G321+X321</f>
        <v>5.3832500000000003</v>
      </c>
      <c r="F321" s="362">
        <v>3.33</v>
      </c>
      <c r="G321" s="353">
        <f>+SUM(H321:W321)</f>
        <v>1.2589999999999999</v>
      </c>
      <c r="H321" s="39"/>
      <c r="I321" s="39">
        <v>0.2</v>
      </c>
      <c r="J321" s="41"/>
      <c r="K321" s="41"/>
      <c r="L321" s="41"/>
      <c r="M321" s="41"/>
      <c r="N321" s="41"/>
      <c r="O321" s="41"/>
      <c r="P321" s="41"/>
      <c r="Q321" s="39">
        <f>(F321+I321)*30%</f>
        <v>1.0589999999999999</v>
      </c>
      <c r="R321" s="41"/>
      <c r="S321" s="41"/>
      <c r="T321" s="39"/>
      <c r="U321" s="39"/>
      <c r="V321" s="41"/>
      <c r="W321" s="41"/>
      <c r="X321" s="39">
        <f>(F321+I321+J321+K321)*22.5/100</f>
        <v>0.79425000000000012</v>
      </c>
      <c r="Y321" s="32">
        <f>E321*100000</f>
        <v>538325</v>
      </c>
      <c r="Z321" s="32">
        <f>Y321*6</f>
        <v>3229950</v>
      </c>
      <c r="AB321" s="217">
        <f>E321*1390000</f>
        <v>7482717.5</v>
      </c>
      <c r="AC321" s="217">
        <f>E321*1490000</f>
        <v>8021042.5</v>
      </c>
    </row>
    <row r="322" spans="1:29" s="10" customFormat="1" ht="27.95" customHeight="1">
      <c r="A322" s="60">
        <v>2</v>
      </c>
      <c r="B322" s="46" t="s">
        <v>701</v>
      </c>
      <c r="C322" s="30"/>
      <c r="D322" s="30"/>
      <c r="E322" s="37">
        <f>+F322+G322+X322</f>
        <v>3.6534999999999997</v>
      </c>
      <c r="F322" s="362">
        <v>2.86</v>
      </c>
      <c r="G322" s="353">
        <f>+SUM(H322:W322)</f>
        <v>0.15</v>
      </c>
      <c r="H322" s="39"/>
      <c r="I322" s="39"/>
      <c r="J322" s="41"/>
      <c r="K322" s="41"/>
      <c r="L322" s="41"/>
      <c r="M322" s="41"/>
      <c r="N322" s="41"/>
      <c r="O322" s="41"/>
      <c r="P322" s="41"/>
      <c r="Q322" s="41"/>
      <c r="R322" s="41"/>
      <c r="S322" s="41"/>
      <c r="T322" s="39"/>
      <c r="U322" s="39"/>
      <c r="V322" s="39">
        <v>0.15</v>
      </c>
      <c r="W322" s="41"/>
      <c r="X322" s="39">
        <f>(F322+I322+J322+K322)*22.5/100</f>
        <v>0.64349999999999996</v>
      </c>
      <c r="Y322" s="32">
        <f>E322*100000</f>
        <v>365350</v>
      </c>
      <c r="Z322" s="32">
        <f>Y322*6</f>
        <v>2192100</v>
      </c>
      <c r="AB322" s="217">
        <f>E322*1390000</f>
        <v>5078365</v>
      </c>
      <c r="AC322" s="217">
        <f>E322*1490000</f>
        <v>5443715</v>
      </c>
    </row>
    <row r="323" spans="1:29" s="10" customFormat="1" ht="27.95" customHeight="1">
      <c r="A323" s="4" t="s">
        <v>4</v>
      </c>
      <c r="B323" s="59" t="s">
        <v>72</v>
      </c>
      <c r="C323" s="30">
        <v>6</v>
      </c>
      <c r="D323" s="30">
        <v>6</v>
      </c>
      <c r="E323" s="40">
        <f>SUM(E324:E329)</f>
        <v>23.045099999999998</v>
      </c>
      <c r="F323" s="63">
        <f t="shared" ref="F323:Z323" si="131">SUM(F324:F329)</f>
        <v>18.36</v>
      </c>
      <c r="G323" s="63">
        <f t="shared" si="131"/>
        <v>0.3</v>
      </c>
      <c r="H323" s="63">
        <f t="shared" si="131"/>
        <v>0</v>
      </c>
      <c r="I323" s="63">
        <f t="shared" si="131"/>
        <v>0.3</v>
      </c>
      <c r="J323" s="63">
        <f t="shared" si="131"/>
        <v>0</v>
      </c>
      <c r="K323" s="63">
        <f t="shared" si="131"/>
        <v>0</v>
      </c>
      <c r="L323" s="63">
        <f t="shared" si="131"/>
        <v>0</v>
      </c>
      <c r="M323" s="63">
        <f t="shared" si="131"/>
        <v>0</v>
      </c>
      <c r="N323" s="63">
        <f t="shared" si="131"/>
        <v>0</v>
      </c>
      <c r="O323" s="63">
        <f t="shared" si="131"/>
        <v>0</v>
      </c>
      <c r="P323" s="63">
        <f t="shared" si="131"/>
        <v>0</v>
      </c>
      <c r="Q323" s="63">
        <f t="shared" si="131"/>
        <v>0</v>
      </c>
      <c r="R323" s="63">
        <f t="shared" si="131"/>
        <v>0</v>
      </c>
      <c r="S323" s="63">
        <f t="shared" si="131"/>
        <v>0</v>
      </c>
      <c r="T323" s="63">
        <f t="shared" si="131"/>
        <v>0</v>
      </c>
      <c r="U323" s="63">
        <f t="shared" si="131"/>
        <v>0</v>
      </c>
      <c r="V323" s="63">
        <f t="shared" si="131"/>
        <v>0</v>
      </c>
      <c r="W323" s="63">
        <f t="shared" si="131"/>
        <v>0</v>
      </c>
      <c r="X323" s="63">
        <f t="shared" si="131"/>
        <v>4.3851000000000004</v>
      </c>
      <c r="Y323" s="33">
        <f t="shared" si="131"/>
        <v>2304510</v>
      </c>
      <c r="Z323" s="33">
        <f t="shared" si="131"/>
        <v>13827060</v>
      </c>
      <c r="AC323" s="217">
        <f>AC321+AC322-AB321-AB322</f>
        <v>903675</v>
      </c>
    </row>
    <row r="324" spans="1:29" s="10" customFormat="1" ht="27.95" customHeight="1">
      <c r="A324" s="184">
        <v>1</v>
      </c>
      <c r="B324" s="14" t="s">
        <v>73</v>
      </c>
      <c r="C324" s="30"/>
      <c r="D324" s="30"/>
      <c r="E324" s="37">
        <f t="shared" ref="E324:E329" si="132">+F324+G324+X324</f>
        <v>5.2981499999999997</v>
      </c>
      <c r="F324" s="43">
        <v>3.99</v>
      </c>
      <c r="G324" s="353">
        <f t="shared" ref="G324:G329" si="133">+SUM(H324:W324)</f>
        <v>0.3</v>
      </c>
      <c r="H324" s="39"/>
      <c r="I324" s="39">
        <v>0.3</v>
      </c>
      <c r="J324" s="39"/>
      <c r="K324" s="39"/>
      <c r="L324" s="39"/>
      <c r="M324" s="39"/>
      <c r="N324" s="39"/>
      <c r="O324" s="39"/>
      <c r="P324" s="39"/>
      <c r="Q324" s="39"/>
      <c r="R324" s="39"/>
      <c r="S324" s="39"/>
      <c r="T324" s="39"/>
      <c r="U324" s="39"/>
      <c r="V324" s="39"/>
      <c r="W324" s="39"/>
      <c r="X324" s="39">
        <f t="shared" ref="X324:X329" si="134">(F324+I324+J324+K324)*23.5/100</f>
        <v>1.0081499999999999</v>
      </c>
      <c r="Y324" s="32">
        <f t="shared" ref="Y324:Y329" si="135">E324*100000</f>
        <v>529815</v>
      </c>
      <c r="Z324" s="32">
        <f t="shared" ref="Z324:Z329" si="136">Y324*6</f>
        <v>3178890</v>
      </c>
      <c r="AB324" s="35"/>
    </row>
    <row r="325" spans="1:29" s="10" customFormat="1" ht="27.95" customHeight="1">
      <c r="A325" s="184">
        <v>2</v>
      </c>
      <c r="B325" s="14" t="s">
        <v>74</v>
      </c>
      <c r="C325" s="30"/>
      <c r="D325" s="30"/>
      <c r="E325" s="37">
        <f t="shared" si="132"/>
        <v>4.1125499999999997</v>
      </c>
      <c r="F325" s="43">
        <v>3.33</v>
      </c>
      <c r="G325" s="353">
        <f t="shared" si="133"/>
        <v>0</v>
      </c>
      <c r="H325" s="39"/>
      <c r="I325" s="39"/>
      <c r="J325" s="39"/>
      <c r="K325" s="39"/>
      <c r="L325" s="39"/>
      <c r="M325" s="39"/>
      <c r="N325" s="39"/>
      <c r="O325" s="39"/>
      <c r="P325" s="39"/>
      <c r="Q325" s="39"/>
      <c r="R325" s="39"/>
      <c r="S325" s="39"/>
      <c r="T325" s="39"/>
      <c r="U325" s="39"/>
      <c r="V325" s="39"/>
      <c r="W325" s="39"/>
      <c r="X325" s="39">
        <f t="shared" si="134"/>
        <v>0.78254999999999997</v>
      </c>
      <c r="Y325" s="32">
        <f t="shared" si="135"/>
        <v>411254.99999999994</v>
      </c>
      <c r="Z325" s="32">
        <f t="shared" si="136"/>
        <v>2467529.9999999995</v>
      </c>
      <c r="AB325" s="35"/>
    </row>
    <row r="326" spans="1:29" s="10" customFormat="1" ht="27.95" customHeight="1">
      <c r="A326" s="184">
        <v>3</v>
      </c>
      <c r="B326" s="14" t="s">
        <v>75</v>
      </c>
      <c r="C326" s="30"/>
      <c r="D326" s="30"/>
      <c r="E326" s="37">
        <f t="shared" si="132"/>
        <v>3.2851000000000004</v>
      </c>
      <c r="F326" s="43">
        <v>2.66</v>
      </c>
      <c r="G326" s="353">
        <f t="shared" si="133"/>
        <v>0</v>
      </c>
      <c r="H326" s="39"/>
      <c r="I326" s="39"/>
      <c r="J326" s="39"/>
      <c r="K326" s="39"/>
      <c r="L326" s="39"/>
      <c r="M326" s="39"/>
      <c r="N326" s="39"/>
      <c r="O326" s="39"/>
      <c r="P326" s="39"/>
      <c r="Q326" s="39"/>
      <c r="R326" s="39"/>
      <c r="S326" s="39"/>
      <c r="T326" s="39"/>
      <c r="U326" s="39"/>
      <c r="V326" s="39"/>
      <c r="W326" s="39"/>
      <c r="X326" s="39">
        <f t="shared" si="134"/>
        <v>0.6251000000000001</v>
      </c>
      <c r="Y326" s="32">
        <f t="shared" si="135"/>
        <v>328510.00000000006</v>
      </c>
      <c r="Z326" s="32">
        <f t="shared" si="136"/>
        <v>1971060.0000000005</v>
      </c>
    </row>
    <row r="327" spans="1:29" s="10" customFormat="1" ht="27.95" customHeight="1">
      <c r="A327" s="184">
        <v>4</v>
      </c>
      <c r="B327" s="14" t="s">
        <v>76</v>
      </c>
      <c r="C327" s="30"/>
      <c r="D327" s="30"/>
      <c r="E327" s="37">
        <f t="shared" si="132"/>
        <v>3.2851000000000004</v>
      </c>
      <c r="F327" s="43">
        <v>2.66</v>
      </c>
      <c r="G327" s="353">
        <f t="shared" si="133"/>
        <v>0</v>
      </c>
      <c r="H327" s="39"/>
      <c r="I327" s="39"/>
      <c r="J327" s="39"/>
      <c r="K327" s="39"/>
      <c r="L327" s="39"/>
      <c r="M327" s="39"/>
      <c r="N327" s="39"/>
      <c r="O327" s="39"/>
      <c r="P327" s="39"/>
      <c r="Q327" s="39"/>
      <c r="R327" s="39"/>
      <c r="S327" s="39"/>
      <c r="T327" s="39"/>
      <c r="U327" s="39"/>
      <c r="V327" s="39"/>
      <c r="W327" s="39"/>
      <c r="X327" s="39">
        <f t="shared" si="134"/>
        <v>0.6251000000000001</v>
      </c>
      <c r="Y327" s="32">
        <f t="shared" si="135"/>
        <v>328510.00000000006</v>
      </c>
      <c r="Z327" s="32">
        <f t="shared" si="136"/>
        <v>1971060.0000000005</v>
      </c>
    </row>
    <row r="328" spans="1:29" s="10" customFormat="1" ht="27.95" customHeight="1">
      <c r="A328" s="184">
        <v>5</v>
      </c>
      <c r="B328" s="14" t="s">
        <v>77</v>
      </c>
      <c r="C328" s="30"/>
      <c r="D328" s="30"/>
      <c r="E328" s="37">
        <f t="shared" si="132"/>
        <v>3.7791000000000001</v>
      </c>
      <c r="F328" s="43">
        <v>3.06</v>
      </c>
      <c r="G328" s="353">
        <f t="shared" si="133"/>
        <v>0</v>
      </c>
      <c r="H328" s="39"/>
      <c r="I328" s="39"/>
      <c r="J328" s="39"/>
      <c r="K328" s="39"/>
      <c r="L328" s="39"/>
      <c r="M328" s="39"/>
      <c r="N328" s="39"/>
      <c r="O328" s="39"/>
      <c r="P328" s="39"/>
      <c r="Q328" s="39"/>
      <c r="R328" s="39"/>
      <c r="S328" s="39"/>
      <c r="T328" s="39"/>
      <c r="U328" s="39"/>
      <c r="V328" s="39"/>
      <c r="W328" s="39"/>
      <c r="X328" s="39">
        <f t="shared" si="134"/>
        <v>0.71909999999999996</v>
      </c>
      <c r="Y328" s="32">
        <f t="shared" si="135"/>
        <v>377910</v>
      </c>
      <c r="Z328" s="32">
        <f t="shared" si="136"/>
        <v>2267460</v>
      </c>
    </row>
    <row r="329" spans="1:29" s="10" customFormat="1" ht="27.95" customHeight="1">
      <c r="A329" s="184">
        <v>6</v>
      </c>
      <c r="B329" s="14" t="s">
        <v>78</v>
      </c>
      <c r="C329" s="30"/>
      <c r="D329" s="30"/>
      <c r="E329" s="37">
        <f t="shared" si="132"/>
        <v>3.2851000000000004</v>
      </c>
      <c r="F329" s="43">
        <v>2.66</v>
      </c>
      <c r="G329" s="353">
        <f t="shared" si="133"/>
        <v>0</v>
      </c>
      <c r="H329" s="39"/>
      <c r="I329" s="39"/>
      <c r="J329" s="39"/>
      <c r="K329" s="39"/>
      <c r="L329" s="39"/>
      <c r="M329" s="39"/>
      <c r="N329" s="39"/>
      <c r="O329" s="39"/>
      <c r="P329" s="39"/>
      <c r="Q329" s="39"/>
      <c r="R329" s="39"/>
      <c r="S329" s="39"/>
      <c r="T329" s="39"/>
      <c r="U329" s="39"/>
      <c r="V329" s="39"/>
      <c r="W329" s="39"/>
      <c r="X329" s="39">
        <f t="shared" si="134"/>
        <v>0.6251000000000001</v>
      </c>
      <c r="Y329" s="32">
        <f t="shared" si="135"/>
        <v>328510.00000000006</v>
      </c>
      <c r="Z329" s="32">
        <f t="shared" si="136"/>
        <v>1971060.0000000005</v>
      </c>
    </row>
    <row r="330" spans="1:29" s="10" customFormat="1" ht="35.25" customHeight="1">
      <c r="A330" s="4" t="s">
        <v>59</v>
      </c>
      <c r="B330" s="59" t="s">
        <v>702</v>
      </c>
      <c r="C330" s="30">
        <f t="shared" ref="C330:Z330" si="137">C331+C337+C339</f>
        <v>16</v>
      </c>
      <c r="D330" s="30">
        <f t="shared" si="137"/>
        <v>9</v>
      </c>
      <c r="E330" s="30">
        <f t="shared" si="137"/>
        <v>37.124100000000006</v>
      </c>
      <c r="F330" s="41">
        <f t="shared" si="137"/>
        <v>29.46</v>
      </c>
      <c r="G330" s="41">
        <f t="shared" si="137"/>
        <v>0.6</v>
      </c>
      <c r="H330" s="41">
        <f t="shared" si="137"/>
        <v>0</v>
      </c>
      <c r="I330" s="41">
        <f t="shared" si="137"/>
        <v>0.6</v>
      </c>
      <c r="J330" s="41">
        <f t="shared" si="137"/>
        <v>0</v>
      </c>
      <c r="K330" s="41">
        <f t="shared" si="137"/>
        <v>0</v>
      </c>
      <c r="L330" s="41">
        <f t="shared" si="137"/>
        <v>0</v>
      </c>
      <c r="M330" s="41">
        <f t="shared" si="137"/>
        <v>0</v>
      </c>
      <c r="N330" s="41">
        <f t="shared" si="137"/>
        <v>0</v>
      </c>
      <c r="O330" s="41">
        <f t="shared" si="137"/>
        <v>0</v>
      </c>
      <c r="P330" s="41">
        <f t="shared" si="137"/>
        <v>0</v>
      </c>
      <c r="Q330" s="41">
        <f t="shared" si="137"/>
        <v>0</v>
      </c>
      <c r="R330" s="41">
        <f t="shared" si="137"/>
        <v>0</v>
      </c>
      <c r="S330" s="41">
        <f t="shared" si="137"/>
        <v>0</v>
      </c>
      <c r="T330" s="41">
        <f t="shared" si="137"/>
        <v>0</v>
      </c>
      <c r="U330" s="41">
        <f t="shared" si="137"/>
        <v>0</v>
      </c>
      <c r="V330" s="41">
        <f t="shared" si="137"/>
        <v>0</v>
      </c>
      <c r="W330" s="41">
        <f t="shared" si="137"/>
        <v>0</v>
      </c>
      <c r="X330" s="41">
        <f t="shared" si="137"/>
        <v>7.0641000000000016</v>
      </c>
      <c r="Y330" s="30">
        <f t="shared" si="137"/>
        <v>3712410</v>
      </c>
      <c r="Z330" s="30">
        <f t="shared" si="137"/>
        <v>22274460</v>
      </c>
    </row>
    <row r="331" spans="1:29" s="10" customFormat="1" ht="27.95" customHeight="1">
      <c r="A331" s="186" t="s">
        <v>556</v>
      </c>
      <c r="B331" s="59" t="s">
        <v>108</v>
      </c>
      <c r="C331" s="30">
        <v>7</v>
      </c>
      <c r="D331" s="30">
        <v>5</v>
      </c>
      <c r="E331" s="40">
        <f>SUM(E332:E336)</f>
        <v>20.920900000000003</v>
      </c>
      <c r="F331" s="63">
        <f>SUM(F332:F336)</f>
        <v>16.64</v>
      </c>
      <c r="G331" s="63">
        <f>SUM(G332:G336)</f>
        <v>0.3</v>
      </c>
      <c r="H331" s="63">
        <f>SUM(H332:H336)</f>
        <v>0</v>
      </c>
      <c r="I331" s="63">
        <f>SUM(I332:I336)</f>
        <v>0.3</v>
      </c>
      <c r="J331" s="39"/>
      <c r="K331" s="39"/>
      <c r="L331" s="39"/>
      <c r="M331" s="39"/>
      <c r="N331" s="39"/>
      <c r="O331" s="39"/>
      <c r="P331" s="39"/>
      <c r="Q331" s="39"/>
      <c r="R331" s="39"/>
      <c r="S331" s="39"/>
      <c r="T331" s="39"/>
      <c r="U331" s="39"/>
      <c r="V331" s="39"/>
      <c r="W331" s="39"/>
      <c r="X331" s="63">
        <f>SUM(X332:X336)</f>
        <v>3.9809000000000005</v>
      </c>
      <c r="Y331" s="33">
        <f>SUM(Y332:Y336)</f>
        <v>2092090</v>
      </c>
      <c r="Z331" s="33">
        <f>SUM(Z332:Z336)</f>
        <v>12552540</v>
      </c>
    </row>
    <row r="332" spans="1:29" s="10" customFormat="1" ht="27.95" customHeight="1">
      <c r="A332" s="185">
        <v>1</v>
      </c>
      <c r="B332" s="14" t="s">
        <v>109</v>
      </c>
      <c r="C332" s="30"/>
      <c r="D332" s="30"/>
      <c r="E332" s="37">
        <f>+F332+G332+X332</f>
        <v>6.5208000000000004</v>
      </c>
      <c r="F332" s="43">
        <v>4.9800000000000004</v>
      </c>
      <c r="G332" s="353">
        <f>+SUM(H332:W332)</f>
        <v>0.3</v>
      </c>
      <c r="H332" s="39"/>
      <c r="I332" s="39">
        <v>0.3</v>
      </c>
      <c r="J332" s="39"/>
      <c r="K332" s="39"/>
      <c r="L332" s="39"/>
      <c r="M332" s="39"/>
      <c r="N332" s="39"/>
      <c r="O332" s="39"/>
      <c r="P332" s="39"/>
      <c r="Q332" s="39"/>
      <c r="R332" s="39"/>
      <c r="S332" s="39"/>
      <c r="T332" s="39"/>
      <c r="U332" s="39"/>
      <c r="V332" s="39"/>
      <c r="W332" s="39"/>
      <c r="X332" s="39">
        <f>(F332+I332+J332+K332)*23.5/100</f>
        <v>1.2408000000000001</v>
      </c>
      <c r="Y332" s="32">
        <f>E332*100000</f>
        <v>652080</v>
      </c>
      <c r="Z332" s="32">
        <f>Y332*6</f>
        <v>3912480</v>
      </c>
    </row>
    <row r="333" spans="1:29" s="10" customFormat="1" ht="27.95" customHeight="1">
      <c r="A333" s="185">
        <v>2</v>
      </c>
      <c r="B333" s="14" t="s">
        <v>64</v>
      </c>
      <c r="C333" s="30"/>
      <c r="D333" s="30"/>
      <c r="E333" s="37">
        <f>+F333+G333+X333</f>
        <v>3.2851000000000004</v>
      </c>
      <c r="F333" s="43">
        <v>2.66</v>
      </c>
      <c r="G333" s="353">
        <f>+SUM(H333:W333)</f>
        <v>0</v>
      </c>
      <c r="H333" s="39"/>
      <c r="I333" s="39"/>
      <c r="J333" s="39"/>
      <c r="K333" s="39"/>
      <c r="L333" s="39"/>
      <c r="M333" s="39"/>
      <c r="N333" s="39"/>
      <c r="O333" s="39"/>
      <c r="P333" s="39"/>
      <c r="Q333" s="39"/>
      <c r="R333" s="39"/>
      <c r="S333" s="39"/>
      <c r="T333" s="39"/>
      <c r="U333" s="39"/>
      <c r="V333" s="39"/>
      <c r="W333" s="39"/>
      <c r="X333" s="39">
        <f>(F333+I333+J333+K333)*23.5/100</f>
        <v>0.6251000000000001</v>
      </c>
      <c r="Y333" s="32">
        <f>E333*100000</f>
        <v>328510.00000000006</v>
      </c>
      <c r="Z333" s="32">
        <f>Y333*6</f>
        <v>1971060.0000000005</v>
      </c>
    </row>
    <row r="334" spans="1:29" s="10" customFormat="1" ht="27.95" customHeight="1">
      <c r="A334" s="185">
        <v>3</v>
      </c>
      <c r="B334" s="14" t="s">
        <v>110</v>
      </c>
      <c r="C334" s="30"/>
      <c r="D334" s="30"/>
      <c r="E334" s="37">
        <f>+F334+G334+X334</f>
        <v>3.7050000000000001</v>
      </c>
      <c r="F334" s="43">
        <v>3</v>
      </c>
      <c r="G334" s="353">
        <f>+SUM(H334:W334)</f>
        <v>0</v>
      </c>
      <c r="H334" s="39"/>
      <c r="I334" s="39"/>
      <c r="J334" s="39"/>
      <c r="K334" s="39"/>
      <c r="L334" s="39"/>
      <c r="M334" s="39"/>
      <c r="N334" s="39"/>
      <c r="O334" s="39"/>
      <c r="P334" s="39"/>
      <c r="Q334" s="39"/>
      <c r="R334" s="39"/>
      <c r="S334" s="39"/>
      <c r="T334" s="39"/>
      <c r="U334" s="39"/>
      <c r="V334" s="39"/>
      <c r="W334" s="39"/>
      <c r="X334" s="39">
        <f>(F334+I334+J334+K334)*23.5/100</f>
        <v>0.70499999999999996</v>
      </c>
      <c r="Y334" s="32">
        <f>E334*100000</f>
        <v>370500</v>
      </c>
      <c r="Z334" s="32">
        <f>Y334*6</f>
        <v>2223000</v>
      </c>
    </row>
    <row r="335" spans="1:29" s="10" customFormat="1" ht="27.95" customHeight="1">
      <c r="A335" s="185">
        <v>4</v>
      </c>
      <c r="B335" s="14" t="s">
        <v>111</v>
      </c>
      <c r="C335" s="30"/>
      <c r="D335" s="30"/>
      <c r="E335" s="37">
        <f>+F335+G335+X335</f>
        <v>3.7050000000000001</v>
      </c>
      <c r="F335" s="43">
        <v>3</v>
      </c>
      <c r="G335" s="353">
        <f>+SUM(H335:W335)</f>
        <v>0</v>
      </c>
      <c r="H335" s="39"/>
      <c r="I335" s="39"/>
      <c r="J335" s="39"/>
      <c r="K335" s="39"/>
      <c r="L335" s="39"/>
      <c r="M335" s="39"/>
      <c r="N335" s="39"/>
      <c r="O335" s="39"/>
      <c r="P335" s="39"/>
      <c r="Q335" s="39"/>
      <c r="R335" s="39"/>
      <c r="S335" s="39"/>
      <c r="T335" s="39"/>
      <c r="U335" s="39"/>
      <c r="V335" s="39"/>
      <c r="W335" s="39"/>
      <c r="X335" s="39">
        <f>(F335+I335+J335+K335)*23.5/100</f>
        <v>0.70499999999999996</v>
      </c>
      <c r="Y335" s="32">
        <f>E335*100000</f>
        <v>370500</v>
      </c>
      <c r="Z335" s="32">
        <f>Y335*6</f>
        <v>2223000</v>
      </c>
    </row>
    <row r="336" spans="1:29" s="10" customFormat="1" ht="27.95" customHeight="1">
      <c r="A336" s="185">
        <v>5</v>
      </c>
      <c r="B336" s="14" t="s">
        <v>112</v>
      </c>
      <c r="C336" s="30"/>
      <c r="D336" s="30"/>
      <c r="E336" s="37">
        <f>+F336+G336+X336</f>
        <v>3.7050000000000001</v>
      </c>
      <c r="F336" s="43">
        <v>3</v>
      </c>
      <c r="G336" s="353">
        <f>+SUM(H336:W336)</f>
        <v>0</v>
      </c>
      <c r="H336" s="39"/>
      <c r="I336" s="39"/>
      <c r="J336" s="39"/>
      <c r="K336" s="39"/>
      <c r="L336" s="39"/>
      <c r="M336" s="39"/>
      <c r="N336" s="39"/>
      <c r="O336" s="39"/>
      <c r="P336" s="39"/>
      <c r="Q336" s="39"/>
      <c r="R336" s="39"/>
      <c r="S336" s="39"/>
      <c r="T336" s="39"/>
      <c r="U336" s="39"/>
      <c r="V336" s="39"/>
      <c r="W336" s="39"/>
      <c r="X336" s="39">
        <f>(F336+I336+J336+K336)*23.5/100</f>
        <v>0.70499999999999996</v>
      </c>
      <c r="Y336" s="32">
        <f>E336*100000</f>
        <v>370500</v>
      </c>
      <c r="Z336" s="32">
        <f>Y336*6</f>
        <v>2223000</v>
      </c>
    </row>
    <row r="337" spans="1:27" s="10" customFormat="1" ht="27.95" customHeight="1">
      <c r="A337" s="186" t="s">
        <v>557</v>
      </c>
      <c r="B337" s="59" t="s">
        <v>113</v>
      </c>
      <c r="C337" s="30">
        <v>3</v>
      </c>
      <c r="D337" s="30">
        <v>1</v>
      </c>
      <c r="E337" s="40">
        <f>SUM(E338:E338)</f>
        <v>3.3592000000000004</v>
      </c>
      <c r="F337" s="63">
        <f>SUM(F338:F338)</f>
        <v>2.72</v>
      </c>
      <c r="G337" s="63">
        <f>SUM(G338:G338)</f>
        <v>0</v>
      </c>
      <c r="H337" s="39"/>
      <c r="I337" s="39"/>
      <c r="J337" s="39"/>
      <c r="K337" s="39"/>
      <c r="L337" s="39"/>
      <c r="M337" s="39"/>
      <c r="N337" s="39"/>
      <c r="O337" s="39"/>
      <c r="P337" s="39"/>
      <c r="Q337" s="39"/>
      <c r="R337" s="39"/>
      <c r="S337" s="39"/>
      <c r="T337" s="39"/>
      <c r="U337" s="39"/>
      <c r="V337" s="39"/>
      <c r="W337" s="39"/>
      <c r="X337" s="63">
        <f>SUM(X338:X338)</f>
        <v>0.63919999999999999</v>
      </c>
      <c r="Y337" s="33">
        <f>SUM(Y338:Y338)</f>
        <v>335920.00000000006</v>
      </c>
      <c r="Z337" s="33">
        <f>SUM(Z338:Z338)</f>
        <v>2015520.0000000005</v>
      </c>
    </row>
    <row r="338" spans="1:27" s="10" customFormat="1" ht="27.95" customHeight="1">
      <c r="A338" s="184">
        <v>1</v>
      </c>
      <c r="B338" s="14" t="s">
        <v>114</v>
      </c>
      <c r="C338" s="30"/>
      <c r="D338" s="30"/>
      <c r="E338" s="37">
        <f>+F338+G338+X338</f>
        <v>3.3592000000000004</v>
      </c>
      <c r="F338" s="43">
        <v>2.72</v>
      </c>
      <c r="G338" s="353">
        <f>+SUM(H338:W338)</f>
        <v>0</v>
      </c>
      <c r="H338" s="39"/>
      <c r="I338" s="39"/>
      <c r="J338" s="39"/>
      <c r="K338" s="39"/>
      <c r="L338" s="39"/>
      <c r="M338" s="39"/>
      <c r="N338" s="39"/>
      <c r="O338" s="39"/>
      <c r="P338" s="39"/>
      <c r="Q338" s="39"/>
      <c r="R338" s="39"/>
      <c r="S338" s="39"/>
      <c r="T338" s="39"/>
      <c r="U338" s="39"/>
      <c r="V338" s="39"/>
      <c r="W338" s="39"/>
      <c r="X338" s="39">
        <f>(F338+I338+J338+K338)*23.5/100</f>
        <v>0.63919999999999999</v>
      </c>
      <c r="Y338" s="32">
        <f>E338*100000</f>
        <v>335920.00000000006</v>
      </c>
      <c r="Z338" s="32">
        <f>Y338*6</f>
        <v>2015520.0000000005</v>
      </c>
    </row>
    <row r="339" spans="1:27" s="10" customFormat="1" ht="27.95" customHeight="1">
      <c r="A339" s="4" t="s">
        <v>558</v>
      </c>
      <c r="B339" s="59" t="s">
        <v>703</v>
      </c>
      <c r="C339" s="30">
        <v>6</v>
      </c>
      <c r="D339" s="30">
        <v>3</v>
      </c>
      <c r="E339" s="40">
        <f>SUM(E340:E342)</f>
        <v>12.844000000000001</v>
      </c>
      <c r="F339" s="63">
        <f t="shared" ref="F339:Z339" si="138">SUM(F340:F342)</f>
        <v>10.100000000000001</v>
      </c>
      <c r="G339" s="63">
        <f t="shared" si="138"/>
        <v>0.3</v>
      </c>
      <c r="H339" s="63">
        <f t="shared" si="138"/>
        <v>0</v>
      </c>
      <c r="I339" s="63">
        <f t="shared" si="138"/>
        <v>0.3</v>
      </c>
      <c r="J339" s="63">
        <f t="shared" si="138"/>
        <v>0</v>
      </c>
      <c r="K339" s="63">
        <f t="shared" si="138"/>
        <v>0</v>
      </c>
      <c r="L339" s="63">
        <f t="shared" si="138"/>
        <v>0</v>
      </c>
      <c r="M339" s="63">
        <f t="shared" si="138"/>
        <v>0</v>
      </c>
      <c r="N339" s="63">
        <f t="shared" si="138"/>
        <v>0</v>
      </c>
      <c r="O339" s="63">
        <f t="shared" si="138"/>
        <v>0</v>
      </c>
      <c r="P339" s="63">
        <f t="shared" si="138"/>
        <v>0</v>
      </c>
      <c r="Q339" s="63">
        <f t="shared" si="138"/>
        <v>0</v>
      </c>
      <c r="R339" s="63">
        <f t="shared" si="138"/>
        <v>0</v>
      </c>
      <c r="S339" s="63">
        <f t="shared" si="138"/>
        <v>0</v>
      </c>
      <c r="T339" s="63">
        <f t="shared" si="138"/>
        <v>0</v>
      </c>
      <c r="U339" s="63">
        <f t="shared" si="138"/>
        <v>0</v>
      </c>
      <c r="V339" s="63">
        <f t="shared" si="138"/>
        <v>0</v>
      </c>
      <c r="W339" s="63">
        <f t="shared" si="138"/>
        <v>0</v>
      </c>
      <c r="X339" s="63">
        <f t="shared" si="138"/>
        <v>2.4440000000000004</v>
      </c>
      <c r="Y339" s="33">
        <f t="shared" si="138"/>
        <v>1284400</v>
      </c>
      <c r="Z339" s="33">
        <f t="shared" si="138"/>
        <v>7706400</v>
      </c>
    </row>
    <row r="340" spans="1:27" s="10" customFormat="1" ht="27.95" customHeight="1">
      <c r="A340" s="185">
        <v>1</v>
      </c>
      <c r="B340" s="14" t="s">
        <v>63</v>
      </c>
      <c r="C340" s="30"/>
      <c r="D340" s="30"/>
      <c r="E340" s="37">
        <f>+F340+G340+X340</f>
        <v>6.5208000000000004</v>
      </c>
      <c r="F340" s="43">
        <v>4.9800000000000004</v>
      </c>
      <c r="G340" s="353">
        <f>+SUM(H340:W340)</f>
        <v>0.3</v>
      </c>
      <c r="H340" s="39"/>
      <c r="I340" s="39">
        <v>0.3</v>
      </c>
      <c r="J340" s="39"/>
      <c r="K340" s="39"/>
      <c r="L340" s="39"/>
      <c r="M340" s="39"/>
      <c r="N340" s="39"/>
      <c r="O340" s="39"/>
      <c r="P340" s="39"/>
      <c r="Q340" s="39"/>
      <c r="R340" s="39"/>
      <c r="S340" s="39"/>
      <c r="T340" s="39"/>
      <c r="U340" s="39"/>
      <c r="V340" s="39"/>
      <c r="W340" s="39"/>
      <c r="X340" s="39">
        <f>(F340+I340+J340+K340)*23.5/100</f>
        <v>1.2408000000000001</v>
      </c>
      <c r="Y340" s="32">
        <f>E340*100000</f>
        <v>652080</v>
      </c>
      <c r="Z340" s="32">
        <f>Y340*6</f>
        <v>3912480</v>
      </c>
    </row>
    <row r="341" spans="1:27" s="10" customFormat="1" ht="27.95" customHeight="1">
      <c r="A341" s="185">
        <v>2</v>
      </c>
      <c r="B341" s="14" t="s">
        <v>71</v>
      </c>
      <c r="C341" s="30"/>
      <c r="D341" s="30"/>
      <c r="E341" s="37">
        <f>+F341+G341+X341</f>
        <v>3.2851000000000004</v>
      </c>
      <c r="F341" s="43">
        <v>2.66</v>
      </c>
      <c r="G341" s="353">
        <f>+SUM(H341:W341)</f>
        <v>0</v>
      </c>
      <c r="H341" s="39"/>
      <c r="I341" s="39"/>
      <c r="J341" s="39"/>
      <c r="K341" s="39"/>
      <c r="L341" s="39"/>
      <c r="M341" s="39"/>
      <c r="N341" s="39"/>
      <c r="O341" s="39"/>
      <c r="P341" s="39"/>
      <c r="Q341" s="39"/>
      <c r="R341" s="39"/>
      <c r="S341" s="39"/>
      <c r="T341" s="39"/>
      <c r="U341" s="39"/>
      <c r="V341" s="39"/>
      <c r="W341" s="39"/>
      <c r="X341" s="39">
        <f>(F341+I341+J341+K341)*23.5/100</f>
        <v>0.6251000000000001</v>
      </c>
      <c r="Y341" s="32">
        <f>E341*100000</f>
        <v>328510.00000000006</v>
      </c>
      <c r="Z341" s="32">
        <f>Y341*6</f>
        <v>1971060.0000000005</v>
      </c>
    </row>
    <row r="342" spans="1:27" s="10" customFormat="1" ht="27.95" customHeight="1">
      <c r="A342" s="185">
        <v>3</v>
      </c>
      <c r="B342" s="14" t="s">
        <v>70</v>
      </c>
      <c r="C342" s="30"/>
      <c r="D342" s="30"/>
      <c r="E342" s="37">
        <f>+F342+G342+X342</f>
        <v>3.0381</v>
      </c>
      <c r="F342" s="43">
        <v>2.46</v>
      </c>
      <c r="G342" s="353">
        <f>+SUM(H342:W342)</f>
        <v>0</v>
      </c>
      <c r="H342" s="39"/>
      <c r="I342" s="39"/>
      <c r="J342" s="39"/>
      <c r="K342" s="39"/>
      <c r="L342" s="39"/>
      <c r="M342" s="39"/>
      <c r="N342" s="39"/>
      <c r="O342" s="39"/>
      <c r="P342" s="39"/>
      <c r="Q342" s="39"/>
      <c r="R342" s="39"/>
      <c r="S342" s="39"/>
      <c r="T342" s="39"/>
      <c r="U342" s="39"/>
      <c r="V342" s="39"/>
      <c r="W342" s="39"/>
      <c r="X342" s="39">
        <f>(F342+I342+J342+K342)*23.5/100</f>
        <v>0.57810000000000006</v>
      </c>
      <c r="Y342" s="32">
        <f>E342*100000</f>
        <v>303810</v>
      </c>
      <c r="Z342" s="32">
        <f>Y342*6</f>
        <v>1822860</v>
      </c>
    </row>
    <row r="343" spans="1:27" s="10" customFormat="1" ht="27.95" customHeight="1">
      <c r="A343" s="3" t="s">
        <v>609</v>
      </c>
      <c r="B343" s="18" t="s">
        <v>137</v>
      </c>
      <c r="C343" s="33">
        <f>C344+C415+C481+C538+C600+C658+C716+C779</f>
        <v>176</v>
      </c>
      <c r="D343" s="33">
        <f>D344+D415+D481+D538+D600+D658+D716+D779</f>
        <v>140</v>
      </c>
      <c r="E343" s="63">
        <f>E344+E415+E481+E538+E600+E658+E716+E779</f>
        <v>983.04414999999995</v>
      </c>
      <c r="F343" s="63">
        <f>F344+F415+F481+F538+F600+F658+F716+F779</f>
        <v>632.78</v>
      </c>
      <c r="G343" s="63">
        <f t="shared" ref="G343:Z343" si="139">G344+G415+G481+G538+G600+G658+G716+G779</f>
        <v>263.9726</v>
      </c>
      <c r="H343" s="63">
        <f t="shared" si="139"/>
        <v>7.3999999999999995</v>
      </c>
      <c r="I343" s="63">
        <f t="shared" si="139"/>
        <v>14.049999999999997</v>
      </c>
      <c r="J343" s="63">
        <f t="shared" si="139"/>
        <v>0.83799999999999997</v>
      </c>
      <c r="K343" s="63">
        <f t="shared" si="139"/>
        <v>1.6500000000000001</v>
      </c>
      <c r="L343" s="63">
        <f t="shared" si="139"/>
        <v>19.917600000000004</v>
      </c>
      <c r="M343" s="63">
        <f t="shared" si="139"/>
        <v>0</v>
      </c>
      <c r="N343" s="63">
        <f t="shared" si="139"/>
        <v>24.599999999999994</v>
      </c>
      <c r="O343" s="63">
        <f t="shared" si="139"/>
        <v>60.299999999999976</v>
      </c>
      <c r="P343" s="63">
        <f t="shared" si="139"/>
        <v>0</v>
      </c>
      <c r="Q343" s="63">
        <f t="shared" si="139"/>
        <v>0</v>
      </c>
      <c r="R343" s="63">
        <f t="shared" si="139"/>
        <v>21</v>
      </c>
      <c r="S343" s="63">
        <f t="shared" si="139"/>
        <v>18.2</v>
      </c>
      <c r="T343" s="63">
        <f t="shared" si="139"/>
        <v>95.417000000000002</v>
      </c>
      <c r="U343" s="63">
        <f t="shared" si="139"/>
        <v>0</v>
      </c>
      <c r="V343" s="63">
        <f t="shared" si="139"/>
        <v>0.6</v>
      </c>
      <c r="W343" s="63">
        <f t="shared" si="139"/>
        <v>0</v>
      </c>
      <c r="X343" s="63">
        <f t="shared" si="139"/>
        <v>86.291549999999987</v>
      </c>
      <c r="Y343" s="33">
        <f t="shared" si="139"/>
        <v>98304415</v>
      </c>
      <c r="Z343" s="33">
        <f t="shared" si="139"/>
        <v>589826490</v>
      </c>
      <c r="AA343" s="121" t="e">
        <f>#REF!-'[1]2.a2'!#REF!</f>
        <v>#REF!</v>
      </c>
    </row>
    <row r="344" spans="1:27" s="10" customFormat="1" ht="27.95" customHeight="1">
      <c r="A344" s="3" t="s">
        <v>610</v>
      </c>
      <c r="B344" s="18" t="s">
        <v>336</v>
      </c>
      <c r="C344" s="17">
        <v>23</v>
      </c>
      <c r="D344" s="17">
        <v>21</v>
      </c>
      <c r="E344" s="218">
        <f>E345+E357+E368+E371+E374+E386</f>
        <v>140.21710000000004</v>
      </c>
      <c r="F344" s="63">
        <f t="shared" ref="F344:Y344" si="140">F345+F357+F368+F371+F374+F386</f>
        <v>97.359999999999985</v>
      </c>
      <c r="G344" s="63">
        <f t="shared" si="140"/>
        <v>30.198600000000003</v>
      </c>
      <c r="H344" s="63">
        <f t="shared" si="140"/>
        <v>0</v>
      </c>
      <c r="I344" s="63">
        <f t="shared" si="140"/>
        <v>1.8999999999999995</v>
      </c>
      <c r="J344" s="63">
        <f t="shared" si="140"/>
        <v>0</v>
      </c>
      <c r="K344" s="63">
        <f t="shared" si="140"/>
        <v>0</v>
      </c>
      <c r="L344" s="63">
        <f t="shared" si="140"/>
        <v>2.4836</v>
      </c>
      <c r="M344" s="63">
        <f t="shared" si="140"/>
        <v>0</v>
      </c>
      <c r="N344" s="63">
        <f t="shared" si="140"/>
        <v>3.2999999999999994</v>
      </c>
      <c r="O344" s="63">
        <f t="shared" si="140"/>
        <v>8.3999999999999986</v>
      </c>
      <c r="P344" s="63">
        <f t="shared" si="140"/>
        <v>0</v>
      </c>
      <c r="Q344" s="63">
        <f t="shared" si="140"/>
        <v>0</v>
      </c>
      <c r="R344" s="63">
        <f t="shared" si="140"/>
        <v>0</v>
      </c>
      <c r="S344" s="63">
        <f t="shared" si="140"/>
        <v>0</v>
      </c>
      <c r="T344" s="63">
        <f t="shared" si="140"/>
        <v>14.014999999999999</v>
      </c>
      <c r="U344" s="63">
        <f t="shared" si="140"/>
        <v>0</v>
      </c>
      <c r="V344" s="63">
        <f t="shared" si="140"/>
        <v>0.1</v>
      </c>
      <c r="W344" s="63">
        <f t="shared" si="140"/>
        <v>0</v>
      </c>
      <c r="X344" s="63">
        <f t="shared" si="140"/>
        <v>12.6585</v>
      </c>
      <c r="Y344" s="219">
        <f t="shared" si="140"/>
        <v>14021710</v>
      </c>
      <c r="Z344" s="219">
        <f>Z345+Z357+Z368+Z371+Z374+Z386</f>
        <v>84130260</v>
      </c>
    </row>
    <row r="345" spans="1:27" s="44" customFormat="1" ht="24" customHeight="1">
      <c r="A345" s="3" t="s">
        <v>2</v>
      </c>
      <c r="B345" s="18" t="s">
        <v>138</v>
      </c>
      <c r="C345" s="17"/>
      <c r="D345" s="17"/>
      <c r="E345" s="218">
        <f>SUM(E346:E356)</f>
        <v>44.461200000000005</v>
      </c>
      <c r="F345" s="63">
        <f t="shared" ref="F345:X345" si="141">SUM(F346:F356)</f>
        <v>26.72</v>
      </c>
      <c r="G345" s="63">
        <f t="shared" si="141"/>
        <v>11.301700000000002</v>
      </c>
      <c r="H345" s="63">
        <f t="shared" si="141"/>
        <v>0</v>
      </c>
      <c r="I345" s="63">
        <f t="shared" si="141"/>
        <v>1.8999999999999995</v>
      </c>
      <c r="J345" s="63">
        <f t="shared" si="141"/>
        <v>0</v>
      </c>
      <c r="K345" s="63">
        <f t="shared" si="141"/>
        <v>0</v>
      </c>
      <c r="L345" s="63">
        <f t="shared" si="141"/>
        <v>2.2967</v>
      </c>
      <c r="M345" s="63">
        <f t="shared" si="141"/>
        <v>0</v>
      </c>
      <c r="N345" s="63">
        <f t="shared" si="141"/>
        <v>0</v>
      </c>
      <c r="O345" s="63">
        <f t="shared" si="141"/>
        <v>0</v>
      </c>
      <c r="P345" s="63">
        <f t="shared" si="141"/>
        <v>0</v>
      </c>
      <c r="Q345" s="63">
        <f t="shared" si="141"/>
        <v>0</v>
      </c>
      <c r="R345" s="63">
        <f t="shared" si="141"/>
        <v>0</v>
      </c>
      <c r="S345" s="63">
        <f t="shared" si="141"/>
        <v>0</v>
      </c>
      <c r="T345" s="63">
        <f t="shared" si="141"/>
        <v>7.1050000000000004</v>
      </c>
      <c r="U345" s="63">
        <f t="shared" si="141"/>
        <v>0</v>
      </c>
      <c r="V345" s="63">
        <f t="shared" si="141"/>
        <v>0</v>
      </c>
      <c r="W345" s="63">
        <f t="shared" si="141"/>
        <v>0</v>
      </c>
      <c r="X345" s="63">
        <f t="shared" si="141"/>
        <v>6.4395000000000007</v>
      </c>
      <c r="Y345" s="219">
        <f>SUM(Y346:Y356)</f>
        <v>4446120</v>
      </c>
      <c r="Z345" s="219">
        <f>SUM(Z346:Z356)</f>
        <v>26676720</v>
      </c>
    </row>
    <row r="346" spans="1:27" s="44" customFormat="1" ht="24" customHeight="1">
      <c r="A346" s="48">
        <v>1</v>
      </c>
      <c r="B346" s="56" t="s">
        <v>139</v>
      </c>
      <c r="C346" s="220"/>
      <c r="D346" s="17"/>
      <c r="E346" s="221">
        <f>+F346+G346+X346</f>
        <v>5.3287499999999994</v>
      </c>
      <c r="F346" s="43">
        <v>2.4</v>
      </c>
      <c r="G346" s="353">
        <f>+SUM(H346:W346)</f>
        <v>2.3325</v>
      </c>
      <c r="H346" s="39"/>
      <c r="I346" s="43">
        <v>0.25</v>
      </c>
      <c r="J346" s="39"/>
      <c r="K346" s="39"/>
      <c r="L346" s="43">
        <f>+(2.34*0.5+0.25)</f>
        <v>1.42</v>
      </c>
      <c r="M346" s="39"/>
      <c r="N346" s="353"/>
      <c r="O346" s="354"/>
      <c r="P346" s="39"/>
      <c r="Q346" s="39"/>
      <c r="R346" s="39"/>
      <c r="S346" s="39"/>
      <c r="T346" s="39">
        <f t="shared" ref="T346:T355" si="142">(F346+I346+J346)*25/100</f>
        <v>0.66249999999999998</v>
      </c>
      <c r="U346" s="39"/>
      <c r="V346" s="353"/>
      <c r="W346" s="39"/>
      <c r="X346" s="39">
        <f>(F346+I346+J346+K346)*22.5/100</f>
        <v>0.59624999999999995</v>
      </c>
      <c r="Y346" s="222">
        <f>E346*100000</f>
        <v>532875</v>
      </c>
      <c r="Z346" s="223">
        <f>Y346*6</f>
        <v>3197250</v>
      </c>
    </row>
    <row r="347" spans="1:27" s="44" customFormat="1" ht="24" customHeight="1">
      <c r="A347" s="48">
        <v>2</v>
      </c>
      <c r="B347" s="56" t="s">
        <v>663</v>
      </c>
      <c r="C347" s="220"/>
      <c r="D347" s="17"/>
      <c r="E347" s="221">
        <f t="shared" ref="E347:E356" si="143">+F347+G347+X347</f>
        <v>0</v>
      </c>
      <c r="F347" s="43"/>
      <c r="G347" s="353">
        <f>+SUM(H347:W347)</f>
        <v>0</v>
      </c>
      <c r="H347" s="39"/>
      <c r="I347" s="43"/>
      <c r="J347" s="39"/>
      <c r="K347" s="39"/>
      <c r="L347" s="373"/>
      <c r="M347" s="39"/>
      <c r="N347" s="353"/>
      <c r="O347" s="354"/>
      <c r="P347" s="39"/>
      <c r="Q347" s="39"/>
      <c r="R347" s="39"/>
      <c r="S347" s="39"/>
      <c r="T347" s="39"/>
      <c r="U347" s="39"/>
      <c r="V347" s="353"/>
      <c r="W347" s="39"/>
      <c r="X347" s="39"/>
      <c r="Y347" s="222">
        <f>E347*100000</f>
        <v>0</v>
      </c>
      <c r="Z347" s="223">
        <f t="shared" ref="Z347:Z410" si="144">Y347*6</f>
        <v>0</v>
      </c>
    </row>
    <row r="348" spans="1:27" s="225" customFormat="1" ht="24" customHeight="1">
      <c r="A348" s="48">
        <v>3</v>
      </c>
      <c r="B348" s="56" t="s">
        <v>141</v>
      </c>
      <c r="C348" s="220"/>
      <c r="D348" s="219"/>
      <c r="E348" s="221">
        <f t="shared" si="143"/>
        <v>4.3070000000000004</v>
      </c>
      <c r="F348" s="353">
        <v>2.67</v>
      </c>
      <c r="G348" s="353">
        <f t="shared" ref="G348:G407" si="145">+SUM(H348:W348)</f>
        <v>0.98</v>
      </c>
      <c r="H348" s="353"/>
      <c r="I348" s="353">
        <v>0.25</v>
      </c>
      <c r="J348" s="353"/>
      <c r="K348" s="353"/>
      <c r="L348" s="353"/>
      <c r="M348" s="353"/>
      <c r="N348" s="353"/>
      <c r="O348" s="353"/>
      <c r="P348" s="353"/>
      <c r="Q348" s="353"/>
      <c r="R348" s="353"/>
      <c r="S348" s="353"/>
      <c r="T348" s="353">
        <f t="shared" si="142"/>
        <v>0.73</v>
      </c>
      <c r="U348" s="353"/>
      <c r="V348" s="353"/>
      <c r="W348" s="353"/>
      <c r="X348" s="353">
        <f t="shared" ref="X348:X356" si="146">(F348+I348+J348+K348)*22.5/100</f>
        <v>0.65700000000000003</v>
      </c>
      <c r="Y348" s="220">
        <f>E348*100000</f>
        <v>430700.00000000006</v>
      </c>
      <c r="Z348" s="224">
        <f t="shared" si="144"/>
        <v>2584200.0000000005</v>
      </c>
    </row>
    <row r="349" spans="1:27" s="44" customFormat="1" ht="24" customHeight="1">
      <c r="A349" s="48">
        <v>4</v>
      </c>
      <c r="B349" s="56" t="s">
        <v>142</v>
      </c>
      <c r="C349" s="222"/>
      <c r="D349" s="17"/>
      <c r="E349" s="221">
        <f t="shared" si="143"/>
        <v>6.5992500000000005</v>
      </c>
      <c r="F349" s="39">
        <v>3.99</v>
      </c>
      <c r="G349" s="353">
        <f t="shared" si="145"/>
        <v>1.6665000000000001</v>
      </c>
      <c r="H349" s="39"/>
      <c r="I349" s="39">
        <v>0.2</v>
      </c>
      <c r="J349" s="39"/>
      <c r="K349" s="39"/>
      <c r="L349" s="43">
        <f>(F349+I349)*10/100</f>
        <v>0.41900000000000004</v>
      </c>
      <c r="M349" s="39"/>
      <c r="N349" s="39"/>
      <c r="O349" s="39"/>
      <c r="P349" s="39"/>
      <c r="Q349" s="39"/>
      <c r="R349" s="39"/>
      <c r="S349" s="39"/>
      <c r="T349" s="39">
        <f t="shared" si="142"/>
        <v>1.0475000000000001</v>
      </c>
      <c r="U349" s="39"/>
      <c r="V349" s="39"/>
      <c r="W349" s="39"/>
      <c r="X349" s="39">
        <f t="shared" si="146"/>
        <v>0.94275000000000009</v>
      </c>
      <c r="Y349" s="222">
        <f t="shared" ref="Y349:Y356" si="147">E349*100000</f>
        <v>659925</v>
      </c>
      <c r="Z349" s="223">
        <f t="shared" si="144"/>
        <v>3959550</v>
      </c>
    </row>
    <row r="350" spans="1:27" s="44" customFormat="1" ht="24" customHeight="1">
      <c r="A350" s="48">
        <v>5</v>
      </c>
      <c r="B350" s="56" t="s">
        <v>143</v>
      </c>
      <c r="C350" s="220"/>
      <c r="D350" s="17"/>
      <c r="E350" s="221">
        <f t="shared" si="143"/>
        <v>5.2214999999999998</v>
      </c>
      <c r="F350" s="43">
        <v>3.34</v>
      </c>
      <c r="G350" s="353">
        <f t="shared" si="145"/>
        <v>1.085</v>
      </c>
      <c r="H350" s="39"/>
      <c r="I350" s="43">
        <v>0.2</v>
      </c>
      <c r="J350" s="39"/>
      <c r="K350" s="39"/>
      <c r="L350" s="373"/>
      <c r="M350" s="39"/>
      <c r="N350" s="39"/>
      <c r="O350" s="354"/>
      <c r="P350" s="39"/>
      <c r="Q350" s="39"/>
      <c r="R350" s="39"/>
      <c r="S350" s="39"/>
      <c r="T350" s="39">
        <f t="shared" si="142"/>
        <v>0.88500000000000001</v>
      </c>
      <c r="U350" s="39"/>
      <c r="V350" s="353"/>
      <c r="W350" s="39"/>
      <c r="X350" s="39">
        <f t="shared" si="146"/>
        <v>0.7965000000000001</v>
      </c>
      <c r="Y350" s="222">
        <f t="shared" si="147"/>
        <v>522150</v>
      </c>
      <c r="Z350" s="223">
        <f t="shared" si="144"/>
        <v>3132900</v>
      </c>
    </row>
    <row r="351" spans="1:27" s="225" customFormat="1" ht="24" customHeight="1">
      <c r="A351" s="48">
        <v>6</v>
      </c>
      <c r="B351" s="56" t="s">
        <v>144</v>
      </c>
      <c r="C351" s="220"/>
      <c r="D351" s="219"/>
      <c r="E351" s="221">
        <f t="shared" si="143"/>
        <v>4.23325</v>
      </c>
      <c r="F351" s="43">
        <v>2.67</v>
      </c>
      <c r="G351" s="353">
        <f t="shared" si="145"/>
        <v>0.91749999999999998</v>
      </c>
      <c r="H351" s="353"/>
      <c r="I351" s="43">
        <v>0.2</v>
      </c>
      <c r="J351" s="353"/>
      <c r="K351" s="353"/>
      <c r="L351" s="374"/>
      <c r="M351" s="353"/>
      <c r="N351" s="353"/>
      <c r="O351" s="354"/>
      <c r="P351" s="353"/>
      <c r="Q351" s="353"/>
      <c r="R351" s="353"/>
      <c r="S351" s="353"/>
      <c r="T351" s="353">
        <f t="shared" si="142"/>
        <v>0.71750000000000003</v>
      </c>
      <c r="U351" s="353"/>
      <c r="V351" s="353"/>
      <c r="W351" s="353"/>
      <c r="X351" s="353">
        <f t="shared" si="146"/>
        <v>0.64575000000000005</v>
      </c>
      <c r="Y351" s="220">
        <f t="shared" si="147"/>
        <v>423325</v>
      </c>
      <c r="Z351" s="224">
        <f t="shared" si="144"/>
        <v>2539950</v>
      </c>
    </row>
    <row r="352" spans="1:27" s="225" customFormat="1" ht="24" customHeight="1">
      <c r="A352" s="48">
        <v>7</v>
      </c>
      <c r="B352" s="56" t="s">
        <v>165</v>
      </c>
      <c r="C352" s="220"/>
      <c r="D352" s="219"/>
      <c r="E352" s="221">
        <f t="shared" si="143"/>
        <v>3.8497500000000002</v>
      </c>
      <c r="F352" s="43">
        <v>2.41</v>
      </c>
      <c r="G352" s="353">
        <f t="shared" si="145"/>
        <v>0.85250000000000026</v>
      </c>
      <c r="H352" s="353"/>
      <c r="I352" s="353">
        <v>0.2</v>
      </c>
      <c r="J352" s="353"/>
      <c r="K352" s="353"/>
      <c r="L352" s="353"/>
      <c r="M352" s="353"/>
      <c r="N352" s="353"/>
      <c r="O352" s="353"/>
      <c r="P352" s="353"/>
      <c r="Q352" s="353"/>
      <c r="R352" s="353"/>
      <c r="S352" s="353"/>
      <c r="T352" s="353">
        <f t="shared" si="142"/>
        <v>0.65250000000000019</v>
      </c>
      <c r="U352" s="353"/>
      <c r="V352" s="353"/>
      <c r="W352" s="353"/>
      <c r="X352" s="353">
        <f t="shared" si="146"/>
        <v>0.58725000000000005</v>
      </c>
      <c r="Y352" s="220">
        <f t="shared" si="147"/>
        <v>384975</v>
      </c>
      <c r="Z352" s="224">
        <f t="shared" si="144"/>
        <v>2309850</v>
      </c>
    </row>
    <row r="353" spans="1:26" s="44" customFormat="1" ht="24" customHeight="1">
      <c r="A353" s="48">
        <v>8</v>
      </c>
      <c r="B353" s="72" t="s">
        <v>145</v>
      </c>
      <c r="C353" s="226"/>
      <c r="D353" s="227"/>
      <c r="E353" s="228">
        <f t="shared" si="143"/>
        <v>2.9647500000000004</v>
      </c>
      <c r="F353" s="375">
        <v>1.86</v>
      </c>
      <c r="G353" s="376">
        <f t="shared" si="145"/>
        <v>0.65250000000000008</v>
      </c>
      <c r="H353" s="377"/>
      <c r="I353" s="377">
        <v>0.15</v>
      </c>
      <c r="J353" s="377"/>
      <c r="K353" s="377"/>
      <c r="L353" s="378"/>
      <c r="M353" s="377"/>
      <c r="N353" s="377"/>
      <c r="O353" s="377"/>
      <c r="P353" s="377"/>
      <c r="Q353" s="377"/>
      <c r="R353" s="377"/>
      <c r="S353" s="377"/>
      <c r="T353" s="377">
        <f t="shared" si="142"/>
        <v>0.50250000000000006</v>
      </c>
      <c r="U353" s="377"/>
      <c r="V353" s="377"/>
      <c r="W353" s="377"/>
      <c r="X353" s="377">
        <f t="shared" si="146"/>
        <v>0.4522500000000001</v>
      </c>
      <c r="Y353" s="222">
        <f t="shared" si="147"/>
        <v>296475.00000000006</v>
      </c>
      <c r="Z353" s="223">
        <f t="shared" si="144"/>
        <v>1778850.0000000005</v>
      </c>
    </row>
    <row r="354" spans="1:26" s="44" customFormat="1" ht="24" customHeight="1">
      <c r="A354" s="48">
        <v>9</v>
      </c>
      <c r="B354" s="72" t="s">
        <v>147</v>
      </c>
      <c r="C354" s="229"/>
      <c r="D354" s="227"/>
      <c r="E354" s="228">
        <f t="shared" si="143"/>
        <v>4.34145</v>
      </c>
      <c r="F354" s="375">
        <v>2.66</v>
      </c>
      <c r="G354" s="376">
        <f t="shared" si="145"/>
        <v>1.0491999999999999</v>
      </c>
      <c r="H354" s="377"/>
      <c r="I354" s="377">
        <v>0.15</v>
      </c>
      <c r="J354" s="377"/>
      <c r="K354" s="377"/>
      <c r="L354" s="379">
        <f>(F354+I354)*7/100</f>
        <v>0.19670000000000001</v>
      </c>
      <c r="M354" s="377"/>
      <c r="N354" s="377"/>
      <c r="O354" s="377"/>
      <c r="P354" s="377"/>
      <c r="Q354" s="377"/>
      <c r="R354" s="377"/>
      <c r="S354" s="377"/>
      <c r="T354" s="377">
        <f t="shared" si="142"/>
        <v>0.70250000000000001</v>
      </c>
      <c r="U354" s="377"/>
      <c r="V354" s="380"/>
      <c r="W354" s="377"/>
      <c r="X354" s="377">
        <f t="shared" si="146"/>
        <v>0.63224999999999998</v>
      </c>
      <c r="Y354" s="222">
        <f t="shared" si="147"/>
        <v>434145</v>
      </c>
      <c r="Z354" s="223">
        <f t="shared" si="144"/>
        <v>2604870</v>
      </c>
    </row>
    <row r="355" spans="1:26" s="44" customFormat="1" ht="24" customHeight="1">
      <c r="A355" s="48">
        <v>10</v>
      </c>
      <c r="B355" s="72" t="s">
        <v>149</v>
      </c>
      <c r="C355" s="229"/>
      <c r="D355" s="227"/>
      <c r="E355" s="228">
        <f t="shared" si="143"/>
        <v>4.1107499999999995</v>
      </c>
      <c r="F355" s="375">
        <v>2.46</v>
      </c>
      <c r="G355" s="376">
        <f t="shared" si="145"/>
        <v>1.0634999999999999</v>
      </c>
      <c r="H355" s="377"/>
      <c r="I355" s="377">
        <v>0.15</v>
      </c>
      <c r="J355" s="377"/>
      <c r="K355" s="377"/>
      <c r="L355" s="379">
        <f>(F355+I355)*10/100</f>
        <v>0.26099999999999995</v>
      </c>
      <c r="M355" s="377"/>
      <c r="N355" s="377"/>
      <c r="O355" s="377"/>
      <c r="P355" s="377"/>
      <c r="Q355" s="377"/>
      <c r="R355" s="377"/>
      <c r="S355" s="377"/>
      <c r="T355" s="377">
        <f t="shared" si="142"/>
        <v>0.65249999999999997</v>
      </c>
      <c r="U355" s="377"/>
      <c r="V355" s="380"/>
      <c r="W355" s="377"/>
      <c r="X355" s="377">
        <f t="shared" si="146"/>
        <v>0.58724999999999994</v>
      </c>
      <c r="Y355" s="222">
        <f t="shared" si="147"/>
        <v>411074.99999999994</v>
      </c>
      <c r="Z355" s="223">
        <f t="shared" si="144"/>
        <v>2466449.9999999995</v>
      </c>
    </row>
    <row r="356" spans="1:26" s="44" customFormat="1" ht="24" customHeight="1">
      <c r="A356" s="48">
        <v>11</v>
      </c>
      <c r="B356" s="72" t="s">
        <v>151</v>
      </c>
      <c r="C356" s="229"/>
      <c r="D356" s="227"/>
      <c r="E356" s="228">
        <f t="shared" si="143"/>
        <v>3.5047499999999996</v>
      </c>
      <c r="F356" s="375">
        <v>2.2599999999999998</v>
      </c>
      <c r="G356" s="376">
        <f t="shared" si="145"/>
        <v>0.70250000000000001</v>
      </c>
      <c r="H356" s="377"/>
      <c r="I356" s="377">
        <v>0.15</v>
      </c>
      <c r="J356" s="377"/>
      <c r="K356" s="377"/>
      <c r="L356" s="378"/>
      <c r="M356" s="377"/>
      <c r="N356" s="377"/>
      <c r="O356" s="377"/>
      <c r="P356" s="377"/>
      <c r="Q356" s="377"/>
      <c r="R356" s="377"/>
      <c r="S356" s="377"/>
      <c r="T356" s="377">
        <v>0.55249999999999999</v>
      </c>
      <c r="U356" s="377"/>
      <c r="V356" s="380"/>
      <c r="W356" s="377"/>
      <c r="X356" s="377">
        <f t="shared" si="146"/>
        <v>0.5422499999999999</v>
      </c>
      <c r="Y356" s="222">
        <f t="shared" si="147"/>
        <v>350474.99999999994</v>
      </c>
      <c r="Z356" s="223">
        <f t="shared" si="144"/>
        <v>2102849.9999999995</v>
      </c>
    </row>
    <row r="357" spans="1:26" s="44" customFormat="1" ht="24" customHeight="1">
      <c r="A357" s="73" t="s">
        <v>3</v>
      </c>
      <c r="B357" s="74" t="s">
        <v>152</v>
      </c>
      <c r="C357" s="229"/>
      <c r="D357" s="227"/>
      <c r="E357" s="231">
        <f>SUM(E358:E367)</f>
        <v>41.055900000000008</v>
      </c>
      <c r="F357" s="381">
        <f t="shared" ref="F357:Z357" si="148">SUM(F358:F367)</f>
        <v>27.639999999999993</v>
      </c>
      <c r="G357" s="381">
        <f t="shared" si="148"/>
        <v>7.1968999999999994</v>
      </c>
      <c r="H357" s="381">
        <f t="shared" si="148"/>
        <v>0</v>
      </c>
      <c r="I357" s="381">
        <f t="shared" si="148"/>
        <v>0</v>
      </c>
      <c r="J357" s="381">
        <f t="shared" si="148"/>
        <v>0</v>
      </c>
      <c r="K357" s="381">
        <f t="shared" si="148"/>
        <v>0</v>
      </c>
      <c r="L357" s="381">
        <f t="shared" si="148"/>
        <v>0.18689999999999998</v>
      </c>
      <c r="M357" s="381">
        <f t="shared" si="148"/>
        <v>0</v>
      </c>
      <c r="N357" s="381">
        <f t="shared" si="148"/>
        <v>0</v>
      </c>
      <c r="O357" s="381">
        <f t="shared" si="148"/>
        <v>0</v>
      </c>
      <c r="P357" s="381">
        <f t="shared" si="148"/>
        <v>0</v>
      </c>
      <c r="Q357" s="381">
        <f t="shared" si="148"/>
        <v>0</v>
      </c>
      <c r="R357" s="381">
        <f t="shared" si="148"/>
        <v>0</v>
      </c>
      <c r="S357" s="381">
        <f t="shared" si="148"/>
        <v>0</v>
      </c>
      <c r="T357" s="381">
        <f t="shared" si="148"/>
        <v>6.9099999999999984</v>
      </c>
      <c r="U357" s="381">
        <f t="shared" si="148"/>
        <v>0</v>
      </c>
      <c r="V357" s="381">
        <f t="shared" si="148"/>
        <v>0.1</v>
      </c>
      <c r="W357" s="381">
        <f t="shared" si="148"/>
        <v>0</v>
      </c>
      <c r="X357" s="381">
        <f t="shared" si="148"/>
        <v>6.2189999999999994</v>
      </c>
      <c r="Y357" s="232">
        <f t="shared" si="148"/>
        <v>4105590</v>
      </c>
      <c r="Z357" s="232">
        <f t="shared" si="148"/>
        <v>24633540</v>
      </c>
    </row>
    <row r="358" spans="1:26" s="44" customFormat="1" ht="24" customHeight="1">
      <c r="A358" s="71" t="s">
        <v>20</v>
      </c>
      <c r="B358" s="72" t="s">
        <v>153</v>
      </c>
      <c r="C358" s="233"/>
      <c r="D358" s="227"/>
      <c r="E358" s="228">
        <f t="shared" ref="E358:E367" si="149">+F358+G358+X358</f>
        <v>4.2184999999999997</v>
      </c>
      <c r="F358" s="375">
        <v>2.86</v>
      </c>
      <c r="G358" s="376">
        <f t="shared" si="145"/>
        <v>0.71499999999999997</v>
      </c>
      <c r="H358" s="377"/>
      <c r="I358" s="382"/>
      <c r="J358" s="377"/>
      <c r="K358" s="377"/>
      <c r="L358" s="383"/>
      <c r="M358" s="377"/>
      <c r="N358" s="376"/>
      <c r="O358" s="382"/>
      <c r="P358" s="377"/>
      <c r="Q358" s="377"/>
      <c r="R358" s="377"/>
      <c r="S358" s="377"/>
      <c r="T358" s="377">
        <f t="shared" ref="T358:T367" si="150">(F358+I358+J358)*25/100</f>
        <v>0.71499999999999997</v>
      </c>
      <c r="U358" s="377"/>
      <c r="V358" s="376"/>
      <c r="W358" s="377"/>
      <c r="X358" s="377">
        <f t="shared" ref="X358:X367" si="151">(F358+I358+J358+K358)*22.5/100</f>
        <v>0.64349999999999996</v>
      </c>
      <c r="Y358" s="222">
        <f t="shared" ref="Y358:Y421" si="152">E358*100000</f>
        <v>421849.99999999994</v>
      </c>
      <c r="Z358" s="223">
        <f t="shared" si="144"/>
        <v>2531099.9999999995</v>
      </c>
    </row>
    <row r="359" spans="1:26" s="44" customFormat="1" ht="24" customHeight="1">
      <c r="A359" s="71" t="s">
        <v>140</v>
      </c>
      <c r="B359" s="72" t="s">
        <v>154</v>
      </c>
      <c r="C359" s="233"/>
      <c r="D359" s="227"/>
      <c r="E359" s="228">
        <f t="shared" si="149"/>
        <v>4.9117499999999996</v>
      </c>
      <c r="F359" s="375">
        <v>3.33</v>
      </c>
      <c r="G359" s="376">
        <f t="shared" si="145"/>
        <v>0.83250000000000002</v>
      </c>
      <c r="H359" s="377"/>
      <c r="I359" s="382"/>
      <c r="J359" s="377"/>
      <c r="K359" s="377"/>
      <c r="L359" s="383"/>
      <c r="M359" s="377"/>
      <c r="N359" s="376"/>
      <c r="O359" s="382"/>
      <c r="P359" s="377"/>
      <c r="Q359" s="377"/>
      <c r="R359" s="377"/>
      <c r="S359" s="377"/>
      <c r="T359" s="377">
        <f t="shared" si="150"/>
        <v>0.83250000000000002</v>
      </c>
      <c r="U359" s="377"/>
      <c r="V359" s="376"/>
      <c r="W359" s="377"/>
      <c r="X359" s="377">
        <f t="shared" si="151"/>
        <v>0.74924999999999997</v>
      </c>
      <c r="Y359" s="222">
        <f t="shared" si="152"/>
        <v>491174.99999999994</v>
      </c>
      <c r="Z359" s="223">
        <f t="shared" si="144"/>
        <v>2947049.9999999995</v>
      </c>
    </row>
    <row r="360" spans="1:26" s="44" customFormat="1" ht="24" customHeight="1">
      <c r="A360" s="71" t="s">
        <v>21</v>
      </c>
      <c r="B360" s="72" t="s">
        <v>155</v>
      </c>
      <c r="C360" s="233"/>
      <c r="D360" s="227"/>
      <c r="E360" s="228">
        <f t="shared" si="149"/>
        <v>4.5250000000000004</v>
      </c>
      <c r="F360" s="375">
        <v>3</v>
      </c>
      <c r="G360" s="376">
        <f t="shared" si="145"/>
        <v>0.85</v>
      </c>
      <c r="H360" s="377"/>
      <c r="I360" s="382"/>
      <c r="J360" s="377"/>
      <c r="K360" s="377"/>
      <c r="L360" s="383"/>
      <c r="M360" s="377"/>
      <c r="N360" s="376"/>
      <c r="O360" s="382"/>
      <c r="P360" s="377"/>
      <c r="Q360" s="377"/>
      <c r="R360" s="377"/>
      <c r="S360" s="377"/>
      <c r="T360" s="377">
        <f t="shared" si="150"/>
        <v>0.75</v>
      </c>
      <c r="U360" s="377"/>
      <c r="V360" s="376">
        <v>0.1</v>
      </c>
      <c r="W360" s="377"/>
      <c r="X360" s="377">
        <f t="shared" si="151"/>
        <v>0.67500000000000004</v>
      </c>
      <c r="Y360" s="222">
        <f t="shared" si="152"/>
        <v>452500.00000000006</v>
      </c>
      <c r="Z360" s="223">
        <f t="shared" si="144"/>
        <v>2715000.0000000005</v>
      </c>
    </row>
    <row r="361" spans="1:26" s="44" customFormat="1" ht="24" customHeight="1">
      <c r="A361" s="71" t="s">
        <v>22</v>
      </c>
      <c r="B361" s="72" t="s">
        <v>156</v>
      </c>
      <c r="C361" s="233"/>
      <c r="D361" s="227"/>
      <c r="E361" s="228">
        <f t="shared" si="149"/>
        <v>3.6285000000000003</v>
      </c>
      <c r="F361" s="375">
        <v>2.46</v>
      </c>
      <c r="G361" s="376">
        <f t="shared" si="145"/>
        <v>0.61499999999999999</v>
      </c>
      <c r="H361" s="377"/>
      <c r="I361" s="382"/>
      <c r="J361" s="377"/>
      <c r="K361" s="377"/>
      <c r="L361" s="383"/>
      <c r="M361" s="377"/>
      <c r="N361" s="376"/>
      <c r="O361" s="382"/>
      <c r="P361" s="377"/>
      <c r="Q361" s="377"/>
      <c r="R361" s="377"/>
      <c r="S361" s="377"/>
      <c r="T361" s="377">
        <f t="shared" si="150"/>
        <v>0.61499999999999999</v>
      </c>
      <c r="U361" s="377"/>
      <c r="V361" s="376"/>
      <c r="W361" s="377"/>
      <c r="X361" s="377">
        <f t="shared" si="151"/>
        <v>0.55349999999999999</v>
      </c>
      <c r="Y361" s="222">
        <f t="shared" si="152"/>
        <v>362850</v>
      </c>
      <c r="Z361" s="223">
        <f t="shared" si="144"/>
        <v>2177100</v>
      </c>
    </row>
    <row r="362" spans="1:26" s="44" customFormat="1" ht="24" customHeight="1">
      <c r="A362" s="71" t="s">
        <v>12</v>
      </c>
      <c r="B362" s="72" t="s">
        <v>157</v>
      </c>
      <c r="C362" s="233"/>
      <c r="D362" s="227"/>
      <c r="E362" s="228">
        <f t="shared" si="149"/>
        <v>3.93825</v>
      </c>
      <c r="F362" s="375">
        <v>2.67</v>
      </c>
      <c r="G362" s="376">
        <f t="shared" si="145"/>
        <v>0.66749999999999998</v>
      </c>
      <c r="H362" s="377"/>
      <c r="I362" s="382"/>
      <c r="J362" s="377"/>
      <c r="K362" s="377"/>
      <c r="L362" s="383"/>
      <c r="M362" s="377"/>
      <c r="N362" s="376"/>
      <c r="O362" s="382"/>
      <c r="P362" s="377"/>
      <c r="Q362" s="377"/>
      <c r="R362" s="377"/>
      <c r="S362" s="377"/>
      <c r="T362" s="377">
        <f t="shared" si="150"/>
        <v>0.66749999999999998</v>
      </c>
      <c r="U362" s="377"/>
      <c r="V362" s="376"/>
      <c r="W362" s="377"/>
      <c r="X362" s="377">
        <f t="shared" si="151"/>
        <v>0.60075000000000001</v>
      </c>
      <c r="Y362" s="222">
        <f t="shared" si="152"/>
        <v>393825</v>
      </c>
      <c r="Z362" s="223">
        <f t="shared" si="144"/>
        <v>2362950</v>
      </c>
    </row>
    <row r="363" spans="1:26" s="44" customFormat="1" ht="24" customHeight="1">
      <c r="A363" s="71" t="s">
        <v>36</v>
      </c>
      <c r="B363" s="72" t="s">
        <v>158</v>
      </c>
      <c r="C363" s="233"/>
      <c r="D363" s="227"/>
      <c r="E363" s="228">
        <f t="shared" si="149"/>
        <v>3.6285000000000003</v>
      </c>
      <c r="F363" s="375">
        <v>2.46</v>
      </c>
      <c r="G363" s="376">
        <f t="shared" si="145"/>
        <v>0.61499999999999999</v>
      </c>
      <c r="H363" s="377"/>
      <c r="I363" s="382"/>
      <c r="J363" s="377"/>
      <c r="K363" s="377"/>
      <c r="L363" s="383"/>
      <c r="M363" s="377"/>
      <c r="N363" s="376"/>
      <c r="O363" s="382"/>
      <c r="P363" s="377"/>
      <c r="Q363" s="377"/>
      <c r="R363" s="377"/>
      <c r="S363" s="377"/>
      <c r="T363" s="377">
        <f t="shared" si="150"/>
        <v>0.61499999999999999</v>
      </c>
      <c r="U363" s="377"/>
      <c r="V363" s="376"/>
      <c r="W363" s="377"/>
      <c r="X363" s="377">
        <f t="shared" si="151"/>
        <v>0.55349999999999999</v>
      </c>
      <c r="Y363" s="222">
        <f t="shared" si="152"/>
        <v>362850</v>
      </c>
      <c r="Z363" s="223">
        <f t="shared" si="144"/>
        <v>2177100</v>
      </c>
    </row>
    <row r="364" spans="1:26" s="44" customFormat="1" ht="24" customHeight="1">
      <c r="A364" s="71" t="s">
        <v>37</v>
      </c>
      <c r="B364" s="72" t="s">
        <v>159</v>
      </c>
      <c r="C364" s="233"/>
      <c r="D364" s="227"/>
      <c r="E364" s="228">
        <f t="shared" si="149"/>
        <v>4.1251499999999997</v>
      </c>
      <c r="F364" s="375">
        <v>2.67</v>
      </c>
      <c r="G364" s="376">
        <f t="shared" si="145"/>
        <v>0.85439999999999994</v>
      </c>
      <c r="H364" s="377"/>
      <c r="I364" s="382"/>
      <c r="J364" s="377"/>
      <c r="K364" s="377"/>
      <c r="L364" s="43">
        <f>(F364+I364)*7/100</f>
        <v>0.18689999999999998</v>
      </c>
      <c r="M364" s="377"/>
      <c r="N364" s="376"/>
      <c r="O364" s="382"/>
      <c r="P364" s="377"/>
      <c r="Q364" s="377"/>
      <c r="R364" s="377"/>
      <c r="S364" s="377"/>
      <c r="T364" s="377">
        <f t="shared" si="150"/>
        <v>0.66749999999999998</v>
      </c>
      <c r="U364" s="377"/>
      <c r="V364" s="376"/>
      <c r="W364" s="377"/>
      <c r="X364" s="377">
        <f t="shared" si="151"/>
        <v>0.60075000000000001</v>
      </c>
      <c r="Y364" s="222">
        <f t="shared" si="152"/>
        <v>412514.99999999994</v>
      </c>
      <c r="Z364" s="223">
        <f t="shared" si="144"/>
        <v>2475089.9999999995</v>
      </c>
    </row>
    <row r="365" spans="1:26" s="44" customFormat="1" ht="24" customHeight="1">
      <c r="A365" s="71" t="s">
        <v>146</v>
      </c>
      <c r="B365" s="72" t="s">
        <v>160</v>
      </c>
      <c r="C365" s="233"/>
      <c r="D365" s="227"/>
      <c r="E365" s="228">
        <f t="shared" si="149"/>
        <v>4.5135000000000005</v>
      </c>
      <c r="F365" s="375">
        <v>3.06</v>
      </c>
      <c r="G365" s="376">
        <f t="shared" si="145"/>
        <v>0.76500000000000001</v>
      </c>
      <c r="H365" s="377"/>
      <c r="I365" s="382"/>
      <c r="J365" s="377"/>
      <c r="K365" s="377"/>
      <c r="L365" s="383"/>
      <c r="M365" s="377"/>
      <c r="N365" s="376"/>
      <c r="O365" s="382"/>
      <c r="P365" s="377"/>
      <c r="Q365" s="377"/>
      <c r="R365" s="377"/>
      <c r="S365" s="377"/>
      <c r="T365" s="377">
        <f t="shared" si="150"/>
        <v>0.76500000000000001</v>
      </c>
      <c r="U365" s="377"/>
      <c r="V365" s="376"/>
      <c r="W365" s="377"/>
      <c r="X365" s="377">
        <f t="shared" si="151"/>
        <v>0.68849999999999989</v>
      </c>
      <c r="Y365" s="222">
        <f t="shared" si="152"/>
        <v>451350.00000000006</v>
      </c>
      <c r="Z365" s="223">
        <f t="shared" si="144"/>
        <v>2708100.0000000005</v>
      </c>
    </row>
    <row r="366" spans="1:26" s="44" customFormat="1" ht="24" customHeight="1">
      <c r="A366" s="71" t="s">
        <v>148</v>
      </c>
      <c r="B366" s="72" t="s">
        <v>161</v>
      </c>
      <c r="C366" s="233"/>
      <c r="D366" s="227"/>
      <c r="E366" s="228">
        <f t="shared" si="149"/>
        <v>3.6285000000000003</v>
      </c>
      <c r="F366" s="375">
        <v>2.46</v>
      </c>
      <c r="G366" s="376">
        <f t="shared" si="145"/>
        <v>0.61499999999999999</v>
      </c>
      <c r="H366" s="377"/>
      <c r="I366" s="382"/>
      <c r="J366" s="377"/>
      <c r="K366" s="377"/>
      <c r="L366" s="383"/>
      <c r="M366" s="377"/>
      <c r="N366" s="376"/>
      <c r="O366" s="382"/>
      <c r="P366" s="377"/>
      <c r="Q366" s="377"/>
      <c r="R366" s="377"/>
      <c r="S366" s="377"/>
      <c r="T366" s="377">
        <f t="shared" si="150"/>
        <v>0.61499999999999999</v>
      </c>
      <c r="U366" s="377"/>
      <c r="V366" s="376"/>
      <c r="W366" s="377"/>
      <c r="X366" s="377">
        <f t="shared" si="151"/>
        <v>0.55349999999999999</v>
      </c>
      <c r="Y366" s="222">
        <f t="shared" si="152"/>
        <v>362850</v>
      </c>
      <c r="Z366" s="223">
        <f t="shared" si="144"/>
        <v>2177100</v>
      </c>
    </row>
    <row r="367" spans="1:26" s="44" customFormat="1" ht="24" customHeight="1">
      <c r="A367" s="71" t="s">
        <v>150</v>
      </c>
      <c r="B367" s="72" t="s">
        <v>163</v>
      </c>
      <c r="C367" s="233"/>
      <c r="D367" s="227"/>
      <c r="E367" s="228">
        <f t="shared" si="149"/>
        <v>3.93825</v>
      </c>
      <c r="F367" s="375">
        <v>2.67</v>
      </c>
      <c r="G367" s="376">
        <f t="shared" si="145"/>
        <v>0.66749999999999998</v>
      </c>
      <c r="H367" s="377"/>
      <c r="I367" s="382"/>
      <c r="J367" s="377"/>
      <c r="K367" s="377"/>
      <c r="L367" s="383"/>
      <c r="M367" s="377"/>
      <c r="N367" s="376"/>
      <c r="O367" s="382"/>
      <c r="P367" s="377"/>
      <c r="Q367" s="377"/>
      <c r="R367" s="377"/>
      <c r="S367" s="377"/>
      <c r="T367" s="377">
        <f t="shared" si="150"/>
        <v>0.66749999999999998</v>
      </c>
      <c r="U367" s="377"/>
      <c r="V367" s="376"/>
      <c r="W367" s="377"/>
      <c r="X367" s="377">
        <f t="shared" si="151"/>
        <v>0.60075000000000001</v>
      </c>
      <c r="Y367" s="222">
        <f t="shared" si="152"/>
        <v>393825</v>
      </c>
      <c r="Z367" s="223">
        <f t="shared" si="144"/>
        <v>2362950</v>
      </c>
    </row>
    <row r="368" spans="1:26" s="44" customFormat="1" ht="61.5" customHeight="1">
      <c r="A368" s="94" t="s">
        <v>4</v>
      </c>
      <c r="B368" s="75" t="s">
        <v>606</v>
      </c>
      <c r="C368" s="233"/>
      <c r="D368" s="227"/>
      <c r="E368" s="230">
        <f t="shared" ref="E368:Z368" si="153">E369+E370</f>
        <v>2</v>
      </c>
      <c r="F368" s="380">
        <f t="shared" si="153"/>
        <v>2</v>
      </c>
      <c r="G368" s="380">
        <f t="shared" si="153"/>
        <v>0</v>
      </c>
      <c r="H368" s="380">
        <f t="shared" si="153"/>
        <v>0</v>
      </c>
      <c r="I368" s="380">
        <f t="shared" si="153"/>
        <v>0</v>
      </c>
      <c r="J368" s="380">
        <f t="shared" si="153"/>
        <v>0</v>
      </c>
      <c r="K368" s="380">
        <f t="shared" si="153"/>
        <v>0</v>
      </c>
      <c r="L368" s="380">
        <f t="shared" si="153"/>
        <v>0</v>
      </c>
      <c r="M368" s="380">
        <f t="shared" si="153"/>
        <v>0</v>
      </c>
      <c r="N368" s="380">
        <f t="shared" si="153"/>
        <v>0</v>
      </c>
      <c r="O368" s="380">
        <f t="shared" si="153"/>
        <v>0</v>
      </c>
      <c r="P368" s="380">
        <f t="shared" si="153"/>
        <v>0</v>
      </c>
      <c r="Q368" s="380">
        <f t="shared" si="153"/>
        <v>0</v>
      </c>
      <c r="R368" s="380">
        <f t="shared" si="153"/>
        <v>0</v>
      </c>
      <c r="S368" s="380">
        <f t="shared" si="153"/>
        <v>0</v>
      </c>
      <c r="T368" s="380">
        <f t="shared" si="153"/>
        <v>0</v>
      </c>
      <c r="U368" s="380">
        <f t="shared" si="153"/>
        <v>0</v>
      </c>
      <c r="V368" s="380">
        <f t="shared" si="153"/>
        <v>0</v>
      </c>
      <c r="W368" s="380">
        <f t="shared" si="153"/>
        <v>0</v>
      </c>
      <c r="X368" s="380">
        <f t="shared" si="153"/>
        <v>0</v>
      </c>
      <c r="Y368" s="229">
        <f t="shared" si="153"/>
        <v>200000</v>
      </c>
      <c r="Z368" s="229">
        <f t="shared" si="153"/>
        <v>1200000</v>
      </c>
    </row>
    <row r="369" spans="1:26" s="44" customFormat="1" ht="24" customHeight="1">
      <c r="A369" s="95">
        <v>1</v>
      </c>
      <c r="B369" s="76" t="s">
        <v>167</v>
      </c>
      <c r="C369" s="229"/>
      <c r="D369" s="227"/>
      <c r="E369" s="228">
        <f>+F369+G369+X369</f>
        <v>1</v>
      </c>
      <c r="F369" s="375">
        <v>1</v>
      </c>
      <c r="G369" s="376">
        <f t="shared" si="145"/>
        <v>0</v>
      </c>
      <c r="H369" s="377"/>
      <c r="I369" s="380"/>
      <c r="J369" s="377"/>
      <c r="K369" s="377"/>
      <c r="L369" s="381"/>
      <c r="M369" s="377"/>
      <c r="N369" s="380"/>
      <c r="O369" s="380"/>
      <c r="P369" s="377"/>
      <c r="Q369" s="377"/>
      <c r="R369" s="377"/>
      <c r="S369" s="377"/>
      <c r="T369" s="380"/>
      <c r="U369" s="377"/>
      <c r="V369" s="380"/>
      <c r="W369" s="377"/>
      <c r="X369" s="377"/>
      <c r="Y369" s="222">
        <f>E369*100000</f>
        <v>100000</v>
      </c>
      <c r="Z369" s="223">
        <f t="shared" si="144"/>
        <v>600000</v>
      </c>
    </row>
    <row r="370" spans="1:26" s="44" customFormat="1" ht="24" customHeight="1">
      <c r="A370" s="96">
        <v>2</v>
      </c>
      <c r="B370" s="72" t="s">
        <v>168</v>
      </c>
      <c r="C370" s="229"/>
      <c r="D370" s="227"/>
      <c r="E370" s="228">
        <f>+F370+G370+X370</f>
        <v>1</v>
      </c>
      <c r="F370" s="375">
        <v>1</v>
      </c>
      <c r="G370" s="376">
        <f t="shared" si="145"/>
        <v>0</v>
      </c>
      <c r="H370" s="377"/>
      <c r="I370" s="380"/>
      <c r="J370" s="377"/>
      <c r="K370" s="377"/>
      <c r="L370" s="381"/>
      <c r="M370" s="377"/>
      <c r="N370" s="380"/>
      <c r="O370" s="380"/>
      <c r="P370" s="377"/>
      <c r="Q370" s="377"/>
      <c r="R370" s="377"/>
      <c r="S370" s="377"/>
      <c r="T370" s="380"/>
      <c r="U370" s="377"/>
      <c r="V370" s="380"/>
      <c r="W370" s="377"/>
      <c r="X370" s="377"/>
      <c r="Y370" s="222">
        <f t="shared" si="152"/>
        <v>100000</v>
      </c>
      <c r="Z370" s="223">
        <f t="shared" si="144"/>
        <v>600000</v>
      </c>
    </row>
    <row r="371" spans="1:26" s="44" customFormat="1" ht="24" customHeight="1">
      <c r="A371" s="73" t="s">
        <v>59</v>
      </c>
      <c r="B371" s="74" t="s">
        <v>169</v>
      </c>
      <c r="C371" s="229"/>
      <c r="D371" s="227"/>
      <c r="E371" s="231">
        <f>SUM(E372:E373)</f>
        <v>41</v>
      </c>
      <c r="F371" s="381">
        <f>SUM(F372:F373)</f>
        <v>41</v>
      </c>
      <c r="G371" s="376">
        <f t="shared" si="145"/>
        <v>0</v>
      </c>
      <c r="H371" s="377"/>
      <c r="I371" s="381">
        <f>SUM(I372:I373)</f>
        <v>0</v>
      </c>
      <c r="J371" s="377"/>
      <c r="K371" s="377"/>
      <c r="L371" s="381">
        <f>SUM(L372:L373)</f>
        <v>0</v>
      </c>
      <c r="M371" s="377"/>
      <c r="N371" s="381">
        <f>SUM(N372:N373)</f>
        <v>0</v>
      </c>
      <c r="O371" s="381">
        <f>SUM(O372:O373)</f>
        <v>0</v>
      </c>
      <c r="P371" s="377"/>
      <c r="Q371" s="377"/>
      <c r="R371" s="377"/>
      <c r="S371" s="377"/>
      <c r="T371" s="381">
        <f>SUM(T372:T373)</f>
        <v>0</v>
      </c>
      <c r="U371" s="377"/>
      <c r="V371" s="381">
        <f>SUM(V372:V373)</f>
        <v>0</v>
      </c>
      <c r="W371" s="377"/>
      <c r="X371" s="380"/>
      <c r="Y371" s="17">
        <f>SUM(Y372:Y373)</f>
        <v>4100000</v>
      </c>
      <c r="Z371" s="17">
        <f>SUM(Z372:Z373)</f>
        <v>24600000</v>
      </c>
    </row>
    <row r="372" spans="1:26" s="44" customFormat="1" ht="24" customHeight="1">
      <c r="A372" s="71" t="s">
        <v>20</v>
      </c>
      <c r="B372" s="72" t="s">
        <v>170</v>
      </c>
      <c r="C372" s="229">
        <v>14</v>
      </c>
      <c r="D372" s="227"/>
      <c r="E372" s="228">
        <f>+F372+G372+X372</f>
        <v>16</v>
      </c>
      <c r="F372" s="384">
        <v>16</v>
      </c>
      <c r="G372" s="376">
        <f t="shared" si="145"/>
        <v>0</v>
      </c>
      <c r="H372" s="377"/>
      <c r="I372" s="380"/>
      <c r="J372" s="377"/>
      <c r="K372" s="377"/>
      <c r="L372" s="381"/>
      <c r="M372" s="377"/>
      <c r="N372" s="380"/>
      <c r="O372" s="380"/>
      <c r="P372" s="377"/>
      <c r="Q372" s="377"/>
      <c r="R372" s="377"/>
      <c r="S372" s="377"/>
      <c r="T372" s="380"/>
      <c r="U372" s="377"/>
      <c r="V372" s="380"/>
      <c r="W372" s="377"/>
      <c r="X372" s="376"/>
      <c r="Y372" s="222">
        <f t="shared" si="152"/>
        <v>1600000</v>
      </c>
      <c r="Z372" s="223">
        <f t="shared" si="144"/>
        <v>9600000</v>
      </c>
    </row>
    <row r="373" spans="1:26" s="44" customFormat="1" ht="24" customHeight="1">
      <c r="A373" s="71" t="s">
        <v>140</v>
      </c>
      <c r="B373" s="72" t="s">
        <v>171</v>
      </c>
      <c r="C373" s="229">
        <v>21</v>
      </c>
      <c r="D373" s="227"/>
      <c r="E373" s="228">
        <f>+F373+G373+X373</f>
        <v>25</v>
      </c>
      <c r="F373" s="384">
        <f>2*5+5*3</f>
        <v>25</v>
      </c>
      <c r="G373" s="376">
        <f t="shared" si="145"/>
        <v>0</v>
      </c>
      <c r="H373" s="377"/>
      <c r="I373" s="380"/>
      <c r="J373" s="377"/>
      <c r="K373" s="377"/>
      <c r="L373" s="381"/>
      <c r="M373" s="377"/>
      <c r="N373" s="380"/>
      <c r="O373" s="380"/>
      <c r="P373" s="377"/>
      <c r="Q373" s="377"/>
      <c r="R373" s="377"/>
      <c r="S373" s="377"/>
      <c r="T373" s="380"/>
      <c r="U373" s="377"/>
      <c r="V373" s="380"/>
      <c r="W373" s="377"/>
      <c r="X373" s="377"/>
      <c r="Y373" s="222">
        <f t="shared" si="152"/>
        <v>2500000</v>
      </c>
      <c r="Z373" s="223">
        <f t="shared" si="144"/>
        <v>15000000</v>
      </c>
    </row>
    <row r="374" spans="1:26" s="44" customFormat="1" ht="24" customHeight="1">
      <c r="A374" s="78" t="s">
        <v>65</v>
      </c>
      <c r="B374" s="74" t="s">
        <v>280</v>
      </c>
      <c r="C374" s="226"/>
      <c r="D374" s="226"/>
      <c r="E374" s="231">
        <f>SUM(E375:E385)</f>
        <v>3.2999999999999994</v>
      </c>
      <c r="F374" s="381">
        <f t="shared" ref="F374:Z374" si="154">SUM(F375:F385)</f>
        <v>0</v>
      </c>
      <c r="G374" s="381">
        <f t="shared" si="154"/>
        <v>3.2999999999999994</v>
      </c>
      <c r="H374" s="381">
        <f t="shared" si="154"/>
        <v>0</v>
      </c>
      <c r="I374" s="381">
        <f t="shared" si="154"/>
        <v>0</v>
      </c>
      <c r="J374" s="381">
        <f t="shared" si="154"/>
        <v>0</v>
      </c>
      <c r="K374" s="381">
        <f t="shared" si="154"/>
        <v>0</v>
      </c>
      <c r="L374" s="381">
        <f t="shared" si="154"/>
        <v>0</v>
      </c>
      <c r="M374" s="381">
        <f t="shared" si="154"/>
        <v>0</v>
      </c>
      <c r="N374" s="381">
        <f t="shared" si="154"/>
        <v>3.2999999999999994</v>
      </c>
      <c r="O374" s="381">
        <f t="shared" si="154"/>
        <v>0</v>
      </c>
      <c r="P374" s="381">
        <f t="shared" si="154"/>
        <v>0</v>
      </c>
      <c r="Q374" s="381">
        <f t="shared" si="154"/>
        <v>0</v>
      </c>
      <c r="R374" s="381">
        <f t="shared" si="154"/>
        <v>0</v>
      </c>
      <c r="S374" s="381">
        <f t="shared" si="154"/>
        <v>0</v>
      </c>
      <c r="T374" s="381">
        <f t="shared" si="154"/>
        <v>0</v>
      </c>
      <c r="U374" s="381">
        <f t="shared" si="154"/>
        <v>0</v>
      </c>
      <c r="V374" s="381">
        <f t="shared" si="154"/>
        <v>0</v>
      </c>
      <c r="W374" s="381">
        <f t="shared" si="154"/>
        <v>0</v>
      </c>
      <c r="X374" s="381">
        <f t="shared" si="154"/>
        <v>0</v>
      </c>
      <c r="Y374" s="232">
        <f t="shared" si="154"/>
        <v>330000</v>
      </c>
      <c r="Z374" s="232">
        <f t="shared" si="154"/>
        <v>1980000</v>
      </c>
    </row>
    <row r="375" spans="1:26" s="44" customFormat="1" ht="24" customHeight="1">
      <c r="A375" s="79">
        <v>1</v>
      </c>
      <c r="B375" s="66" t="s">
        <v>281</v>
      </c>
      <c r="C375" s="226"/>
      <c r="D375" s="226"/>
      <c r="E375" s="228">
        <f t="shared" ref="E375:E385" si="155">+F375+G375+X375</f>
        <v>0.3</v>
      </c>
      <c r="F375" s="385"/>
      <c r="G375" s="376">
        <f t="shared" si="145"/>
        <v>0.3</v>
      </c>
      <c r="H375" s="377"/>
      <c r="I375" s="382"/>
      <c r="J375" s="377"/>
      <c r="K375" s="377"/>
      <c r="L375" s="383"/>
      <c r="M375" s="377"/>
      <c r="N375" s="376">
        <v>0.3</v>
      </c>
      <c r="O375" s="382"/>
      <c r="P375" s="377"/>
      <c r="Q375" s="377"/>
      <c r="R375" s="377"/>
      <c r="S375" s="377"/>
      <c r="T375" s="377">
        <f t="shared" ref="T375:T436" si="156">(F375+I375+J375)*25/100</f>
        <v>0</v>
      </c>
      <c r="U375" s="377"/>
      <c r="V375" s="376"/>
      <c r="W375" s="377"/>
      <c r="X375" s="377">
        <f t="shared" ref="X375:X385" si="157">(F375+I375+J375+K375)*22.5/100</f>
        <v>0</v>
      </c>
      <c r="Y375" s="222">
        <f t="shared" si="152"/>
        <v>30000</v>
      </c>
      <c r="Z375" s="223">
        <f t="shared" si="144"/>
        <v>180000</v>
      </c>
    </row>
    <row r="376" spans="1:26" s="44" customFormat="1" ht="24" customHeight="1">
      <c r="A376" s="79">
        <v>2</v>
      </c>
      <c r="B376" s="66" t="s">
        <v>142</v>
      </c>
      <c r="C376" s="226"/>
      <c r="D376" s="226"/>
      <c r="E376" s="228">
        <f t="shared" si="155"/>
        <v>0.3</v>
      </c>
      <c r="F376" s="385"/>
      <c r="G376" s="376">
        <f t="shared" si="145"/>
        <v>0.3</v>
      </c>
      <c r="H376" s="377"/>
      <c r="I376" s="382"/>
      <c r="J376" s="377"/>
      <c r="K376" s="377"/>
      <c r="L376" s="383"/>
      <c r="M376" s="377"/>
      <c r="N376" s="376">
        <v>0.3</v>
      </c>
      <c r="O376" s="382"/>
      <c r="P376" s="377"/>
      <c r="Q376" s="377"/>
      <c r="R376" s="377"/>
      <c r="S376" s="377"/>
      <c r="T376" s="377">
        <f t="shared" si="156"/>
        <v>0</v>
      </c>
      <c r="U376" s="377"/>
      <c r="V376" s="376"/>
      <c r="W376" s="377"/>
      <c r="X376" s="377">
        <f t="shared" si="157"/>
        <v>0</v>
      </c>
      <c r="Y376" s="222">
        <f t="shared" si="152"/>
        <v>30000</v>
      </c>
      <c r="Z376" s="223">
        <f t="shared" si="144"/>
        <v>180000</v>
      </c>
    </row>
    <row r="377" spans="1:26" s="44" customFormat="1" ht="24" customHeight="1">
      <c r="A377" s="79">
        <v>3</v>
      </c>
      <c r="B377" s="66" t="s">
        <v>305</v>
      </c>
      <c r="C377" s="226"/>
      <c r="D377" s="226"/>
      <c r="E377" s="228">
        <f t="shared" si="155"/>
        <v>0.3</v>
      </c>
      <c r="F377" s="385"/>
      <c r="G377" s="376">
        <f t="shared" si="145"/>
        <v>0.3</v>
      </c>
      <c r="H377" s="377"/>
      <c r="I377" s="382"/>
      <c r="J377" s="377"/>
      <c r="K377" s="377"/>
      <c r="L377" s="386"/>
      <c r="M377" s="377"/>
      <c r="N377" s="376">
        <v>0.3</v>
      </c>
      <c r="O377" s="382"/>
      <c r="P377" s="377"/>
      <c r="Q377" s="377"/>
      <c r="R377" s="377"/>
      <c r="S377" s="377"/>
      <c r="T377" s="377"/>
      <c r="U377" s="377"/>
      <c r="V377" s="376"/>
      <c r="W377" s="377"/>
      <c r="X377" s="377">
        <f t="shared" si="157"/>
        <v>0</v>
      </c>
      <c r="Y377" s="222">
        <f t="shared" si="152"/>
        <v>30000</v>
      </c>
      <c r="Z377" s="223">
        <f t="shared" si="144"/>
        <v>180000</v>
      </c>
    </row>
    <row r="378" spans="1:26" s="44" customFormat="1" ht="24" customHeight="1">
      <c r="A378" s="79">
        <v>4</v>
      </c>
      <c r="B378" s="66" t="s">
        <v>296</v>
      </c>
      <c r="C378" s="226"/>
      <c r="D378" s="226"/>
      <c r="E378" s="228">
        <f t="shared" si="155"/>
        <v>0.3</v>
      </c>
      <c r="F378" s="385"/>
      <c r="G378" s="376">
        <f t="shared" si="145"/>
        <v>0.3</v>
      </c>
      <c r="H378" s="377"/>
      <c r="I378" s="382"/>
      <c r="J378" s="377"/>
      <c r="K378" s="377"/>
      <c r="L378" s="383"/>
      <c r="M378" s="377"/>
      <c r="N378" s="376">
        <v>0.3</v>
      </c>
      <c r="O378" s="382"/>
      <c r="P378" s="377"/>
      <c r="Q378" s="377"/>
      <c r="R378" s="377"/>
      <c r="S378" s="377"/>
      <c r="T378" s="377">
        <f t="shared" si="156"/>
        <v>0</v>
      </c>
      <c r="U378" s="377"/>
      <c r="V378" s="376"/>
      <c r="W378" s="377"/>
      <c r="X378" s="377">
        <f t="shared" si="157"/>
        <v>0</v>
      </c>
      <c r="Y378" s="222">
        <f t="shared" si="152"/>
        <v>30000</v>
      </c>
      <c r="Z378" s="223">
        <f t="shared" si="144"/>
        <v>180000</v>
      </c>
    </row>
    <row r="379" spans="1:26" s="44" customFormat="1" ht="24" customHeight="1">
      <c r="A379" s="79">
        <v>5</v>
      </c>
      <c r="B379" s="66" t="s">
        <v>139</v>
      </c>
      <c r="C379" s="226"/>
      <c r="D379" s="226"/>
      <c r="E379" s="228">
        <f t="shared" si="155"/>
        <v>0.3</v>
      </c>
      <c r="F379" s="385"/>
      <c r="G379" s="376">
        <f t="shared" si="145"/>
        <v>0.3</v>
      </c>
      <c r="H379" s="377"/>
      <c r="I379" s="382"/>
      <c r="J379" s="377"/>
      <c r="K379" s="377"/>
      <c r="L379" s="383"/>
      <c r="M379" s="377"/>
      <c r="N379" s="376">
        <v>0.3</v>
      </c>
      <c r="O379" s="382"/>
      <c r="P379" s="377"/>
      <c r="Q379" s="377"/>
      <c r="R379" s="377"/>
      <c r="S379" s="377"/>
      <c r="T379" s="377">
        <f t="shared" si="156"/>
        <v>0</v>
      </c>
      <c r="U379" s="377"/>
      <c r="V379" s="376"/>
      <c r="W379" s="377"/>
      <c r="X379" s="377">
        <f t="shared" si="157"/>
        <v>0</v>
      </c>
      <c r="Y379" s="222">
        <f t="shared" si="152"/>
        <v>30000</v>
      </c>
      <c r="Z379" s="223">
        <f t="shared" si="144"/>
        <v>180000</v>
      </c>
    </row>
    <row r="380" spans="1:26" s="44" customFormat="1" ht="24" customHeight="1">
      <c r="A380" s="79">
        <v>6</v>
      </c>
      <c r="B380" s="66" t="s">
        <v>144</v>
      </c>
      <c r="C380" s="226"/>
      <c r="D380" s="226"/>
      <c r="E380" s="228">
        <f t="shared" si="155"/>
        <v>0.3</v>
      </c>
      <c r="F380" s="385"/>
      <c r="G380" s="376">
        <f t="shared" si="145"/>
        <v>0.3</v>
      </c>
      <c r="H380" s="377"/>
      <c r="I380" s="382"/>
      <c r="J380" s="377"/>
      <c r="K380" s="377"/>
      <c r="L380" s="383"/>
      <c r="M380" s="377"/>
      <c r="N380" s="376">
        <v>0.3</v>
      </c>
      <c r="O380" s="382"/>
      <c r="P380" s="377"/>
      <c r="Q380" s="377"/>
      <c r="R380" s="377"/>
      <c r="S380" s="377"/>
      <c r="T380" s="377">
        <f t="shared" si="156"/>
        <v>0</v>
      </c>
      <c r="U380" s="377"/>
      <c r="V380" s="376"/>
      <c r="W380" s="377"/>
      <c r="X380" s="377">
        <f t="shared" si="157"/>
        <v>0</v>
      </c>
      <c r="Y380" s="222">
        <f t="shared" si="152"/>
        <v>30000</v>
      </c>
      <c r="Z380" s="223">
        <f t="shared" si="144"/>
        <v>180000</v>
      </c>
    </row>
    <row r="381" spans="1:26" s="44" customFormat="1" ht="24" customHeight="1">
      <c r="A381" s="79">
        <v>7</v>
      </c>
      <c r="B381" s="66" t="s">
        <v>306</v>
      </c>
      <c r="C381" s="226"/>
      <c r="D381" s="226"/>
      <c r="E381" s="228">
        <f t="shared" si="155"/>
        <v>0.3</v>
      </c>
      <c r="F381" s="385"/>
      <c r="G381" s="376">
        <f t="shared" si="145"/>
        <v>0.3</v>
      </c>
      <c r="H381" s="377"/>
      <c r="I381" s="382"/>
      <c r="J381" s="377"/>
      <c r="K381" s="377"/>
      <c r="L381" s="383"/>
      <c r="M381" s="377"/>
      <c r="N381" s="376">
        <v>0.3</v>
      </c>
      <c r="O381" s="382"/>
      <c r="P381" s="377"/>
      <c r="Q381" s="377"/>
      <c r="R381" s="377"/>
      <c r="S381" s="377"/>
      <c r="T381" s="377">
        <f t="shared" si="156"/>
        <v>0</v>
      </c>
      <c r="U381" s="377"/>
      <c r="V381" s="376"/>
      <c r="W381" s="377"/>
      <c r="X381" s="377">
        <f t="shared" si="157"/>
        <v>0</v>
      </c>
      <c r="Y381" s="222">
        <f t="shared" si="152"/>
        <v>30000</v>
      </c>
      <c r="Z381" s="223">
        <f t="shared" si="144"/>
        <v>180000</v>
      </c>
    </row>
    <row r="382" spans="1:26" s="44" customFormat="1" ht="24" customHeight="1">
      <c r="A382" s="79">
        <v>8</v>
      </c>
      <c r="B382" s="66" t="s">
        <v>163</v>
      </c>
      <c r="C382" s="226"/>
      <c r="D382" s="226"/>
      <c r="E382" s="228">
        <f t="shared" si="155"/>
        <v>0.3</v>
      </c>
      <c r="F382" s="385"/>
      <c r="G382" s="376">
        <f t="shared" si="145"/>
        <v>0.3</v>
      </c>
      <c r="H382" s="377"/>
      <c r="I382" s="382"/>
      <c r="J382" s="377"/>
      <c r="K382" s="377"/>
      <c r="L382" s="383"/>
      <c r="M382" s="377"/>
      <c r="N382" s="376">
        <v>0.3</v>
      </c>
      <c r="O382" s="382"/>
      <c r="P382" s="377"/>
      <c r="Q382" s="377"/>
      <c r="R382" s="377"/>
      <c r="S382" s="377"/>
      <c r="T382" s="377">
        <f t="shared" si="156"/>
        <v>0</v>
      </c>
      <c r="U382" s="377"/>
      <c r="V382" s="376"/>
      <c r="W382" s="377"/>
      <c r="X382" s="377">
        <f t="shared" si="157"/>
        <v>0</v>
      </c>
      <c r="Y382" s="222">
        <f t="shared" si="152"/>
        <v>30000</v>
      </c>
      <c r="Z382" s="223">
        <f t="shared" si="144"/>
        <v>180000</v>
      </c>
    </row>
    <row r="383" spans="1:26" s="44" customFormat="1" ht="24" customHeight="1">
      <c r="A383" s="79">
        <v>9</v>
      </c>
      <c r="B383" s="66" t="s">
        <v>307</v>
      </c>
      <c r="C383" s="226"/>
      <c r="D383" s="226"/>
      <c r="E383" s="228">
        <f t="shared" si="155"/>
        <v>0.3</v>
      </c>
      <c r="F383" s="385"/>
      <c r="G383" s="376">
        <f t="shared" si="145"/>
        <v>0.3</v>
      </c>
      <c r="H383" s="377"/>
      <c r="I383" s="382"/>
      <c r="J383" s="377"/>
      <c r="K383" s="377"/>
      <c r="L383" s="383"/>
      <c r="M383" s="377"/>
      <c r="N383" s="376">
        <v>0.3</v>
      </c>
      <c r="O383" s="382"/>
      <c r="P383" s="377"/>
      <c r="Q383" s="377"/>
      <c r="R383" s="377"/>
      <c r="S383" s="377"/>
      <c r="T383" s="377">
        <f t="shared" si="156"/>
        <v>0</v>
      </c>
      <c r="U383" s="377"/>
      <c r="V383" s="376"/>
      <c r="W383" s="377"/>
      <c r="X383" s="377">
        <f t="shared" si="157"/>
        <v>0</v>
      </c>
      <c r="Y383" s="222">
        <f t="shared" si="152"/>
        <v>30000</v>
      </c>
      <c r="Z383" s="223">
        <f t="shared" si="144"/>
        <v>180000</v>
      </c>
    </row>
    <row r="384" spans="1:26" s="44" customFormat="1" ht="24" customHeight="1">
      <c r="A384" s="79">
        <v>10</v>
      </c>
      <c r="B384" s="66" t="s">
        <v>308</v>
      </c>
      <c r="C384" s="226"/>
      <c r="D384" s="226"/>
      <c r="E384" s="228">
        <f t="shared" si="155"/>
        <v>0.3</v>
      </c>
      <c r="F384" s="385"/>
      <c r="G384" s="376">
        <f t="shared" si="145"/>
        <v>0.3</v>
      </c>
      <c r="H384" s="377"/>
      <c r="I384" s="382"/>
      <c r="J384" s="377"/>
      <c r="K384" s="377"/>
      <c r="L384" s="383"/>
      <c r="M384" s="377"/>
      <c r="N384" s="376">
        <v>0.3</v>
      </c>
      <c r="O384" s="382"/>
      <c r="P384" s="377"/>
      <c r="Q384" s="377"/>
      <c r="R384" s="377"/>
      <c r="S384" s="377"/>
      <c r="T384" s="377">
        <f t="shared" si="156"/>
        <v>0</v>
      </c>
      <c r="U384" s="377"/>
      <c r="V384" s="376"/>
      <c r="W384" s="377"/>
      <c r="X384" s="377">
        <f t="shared" si="157"/>
        <v>0</v>
      </c>
      <c r="Y384" s="222">
        <f t="shared" si="152"/>
        <v>30000</v>
      </c>
      <c r="Z384" s="223">
        <f t="shared" si="144"/>
        <v>180000</v>
      </c>
    </row>
    <row r="385" spans="1:26" s="44" customFormat="1" ht="24" customHeight="1">
      <c r="A385" s="79">
        <v>11</v>
      </c>
      <c r="B385" s="66" t="s">
        <v>143</v>
      </c>
      <c r="C385" s="226"/>
      <c r="D385" s="226"/>
      <c r="E385" s="228">
        <f t="shared" si="155"/>
        <v>0.3</v>
      </c>
      <c r="F385" s="385"/>
      <c r="G385" s="376">
        <f t="shared" si="145"/>
        <v>0.3</v>
      </c>
      <c r="H385" s="377"/>
      <c r="I385" s="382"/>
      <c r="J385" s="377"/>
      <c r="K385" s="377"/>
      <c r="L385" s="383"/>
      <c r="M385" s="377"/>
      <c r="N385" s="376">
        <v>0.3</v>
      </c>
      <c r="O385" s="382"/>
      <c r="P385" s="377"/>
      <c r="Q385" s="377"/>
      <c r="R385" s="377"/>
      <c r="S385" s="377"/>
      <c r="T385" s="377">
        <f t="shared" si="156"/>
        <v>0</v>
      </c>
      <c r="U385" s="377"/>
      <c r="V385" s="376"/>
      <c r="W385" s="377"/>
      <c r="X385" s="377">
        <f t="shared" si="157"/>
        <v>0</v>
      </c>
      <c r="Y385" s="222">
        <f t="shared" si="152"/>
        <v>30000</v>
      </c>
      <c r="Z385" s="223">
        <f t="shared" si="144"/>
        <v>180000</v>
      </c>
    </row>
    <row r="386" spans="1:26" s="44" customFormat="1" ht="24" customHeight="1">
      <c r="A386" s="78" t="s">
        <v>79</v>
      </c>
      <c r="B386" s="234" t="s">
        <v>279</v>
      </c>
      <c r="C386" s="226"/>
      <c r="D386" s="226"/>
      <c r="E386" s="231">
        <f>SUM(E387:E414)</f>
        <v>8.3999999999999986</v>
      </c>
      <c r="F386" s="381">
        <f t="shared" ref="F386:X386" si="158">SUM(F387:F414)</f>
        <v>0</v>
      </c>
      <c r="G386" s="381">
        <f t="shared" si="158"/>
        <v>8.3999999999999986</v>
      </c>
      <c r="H386" s="381">
        <f t="shared" si="158"/>
        <v>0</v>
      </c>
      <c r="I386" s="381">
        <f t="shared" si="158"/>
        <v>0</v>
      </c>
      <c r="J386" s="381">
        <f t="shared" si="158"/>
        <v>0</v>
      </c>
      <c r="K386" s="381">
        <f t="shared" si="158"/>
        <v>0</v>
      </c>
      <c r="L386" s="381">
        <f t="shared" si="158"/>
        <v>0</v>
      </c>
      <c r="M386" s="381">
        <f t="shared" si="158"/>
        <v>0</v>
      </c>
      <c r="N386" s="381">
        <f t="shared" si="158"/>
        <v>0</v>
      </c>
      <c r="O386" s="381">
        <f t="shared" si="158"/>
        <v>8.3999999999999986</v>
      </c>
      <c r="P386" s="381">
        <f t="shared" si="158"/>
        <v>0</v>
      </c>
      <c r="Q386" s="381">
        <f t="shared" si="158"/>
        <v>0</v>
      </c>
      <c r="R386" s="381">
        <f t="shared" si="158"/>
        <v>0</v>
      </c>
      <c r="S386" s="381">
        <f t="shared" si="158"/>
        <v>0</v>
      </c>
      <c r="T386" s="381">
        <f t="shared" si="158"/>
        <v>0</v>
      </c>
      <c r="U386" s="381">
        <f t="shared" si="158"/>
        <v>0</v>
      </c>
      <c r="V386" s="381">
        <f t="shared" si="158"/>
        <v>0</v>
      </c>
      <c r="W386" s="381">
        <f t="shared" si="158"/>
        <v>0</v>
      </c>
      <c r="X386" s="381">
        <f t="shared" si="158"/>
        <v>0</v>
      </c>
      <c r="Y386" s="235">
        <f>SUM(Y387:Y414)</f>
        <v>840000</v>
      </c>
      <c r="Z386" s="235">
        <f>SUM(Z387:Z414)</f>
        <v>5040000</v>
      </c>
    </row>
    <row r="387" spans="1:26" s="44" customFormat="1" ht="24" customHeight="1">
      <c r="A387" s="79">
        <v>1</v>
      </c>
      <c r="B387" s="66" t="s">
        <v>309</v>
      </c>
      <c r="C387" s="226"/>
      <c r="D387" s="226"/>
      <c r="E387" s="228">
        <f t="shared" ref="E387:E414" si="159">+F387+G387+X387</f>
        <v>0.3</v>
      </c>
      <c r="F387" s="385"/>
      <c r="G387" s="376">
        <f t="shared" si="145"/>
        <v>0.3</v>
      </c>
      <c r="H387" s="377"/>
      <c r="I387" s="382"/>
      <c r="J387" s="377"/>
      <c r="K387" s="377"/>
      <c r="L387" s="383"/>
      <c r="M387" s="377"/>
      <c r="N387" s="377"/>
      <c r="O387" s="376">
        <v>0.3</v>
      </c>
      <c r="P387" s="377"/>
      <c r="Q387" s="377"/>
      <c r="R387" s="377"/>
      <c r="S387" s="377"/>
      <c r="T387" s="377">
        <f t="shared" si="156"/>
        <v>0</v>
      </c>
      <c r="U387" s="377"/>
      <c r="V387" s="376"/>
      <c r="W387" s="377"/>
      <c r="X387" s="377">
        <f t="shared" ref="X387:X414" si="160">(F387+I387+J387+K387)*22.5/100</f>
        <v>0</v>
      </c>
      <c r="Y387" s="222">
        <f t="shared" si="152"/>
        <v>30000</v>
      </c>
      <c r="Z387" s="223">
        <f t="shared" si="144"/>
        <v>180000</v>
      </c>
    </row>
    <row r="388" spans="1:26" s="44" customFormat="1" ht="24" customHeight="1">
      <c r="A388" s="79">
        <v>2</v>
      </c>
      <c r="B388" s="66" t="s">
        <v>144</v>
      </c>
      <c r="C388" s="226"/>
      <c r="D388" s="226"/>
      <c r="E388" s="228">
        <f t="shared" si="159"/>
        <v>0.3</v>
      </c>
      <c r="F388" s="385"/>
      <c r="G388" s="376">
        <f t="shared" si="145"/>
        <v>0.3</v>
      </c>
      <c r="H388" s="377"/>
      <c r="I388" s="382"/>
      <c r="J388" s="377"/>
      <c r="K388" s="377"/>
      <c r="L388" s="383"/>
      <c r="M388" s="377"/>
      <c r="N388" s="377"/>
      <c r="O388" s="376">
        <v>0.3</v>
      </c>
      <c r="P388" s="377"/>
      <c r="Q388" s="377"/>
      <c r="R388" s="377"/>
      <c r="S388" s="377"/>
      <c r="T388" s="377">
        <f t="shared" si="156"/>
        <v>0</v>
      </c>
      <c r="U388" s="377"/>
      <c r="V388" s="376"/>
      <c r="W388" s="377"/>
      <c r="X388" s="377">
        <f t="shared" si="160"/>
        <v>0</v>
      </c>
      <c r="Y388" s="222">
        <f t="shared" si="152"/>
        <v>30000</v>
      </c>
      <c r="Z388" s="223">
        <f t="shared" si="144"/>
        <v>180000</v>
      </c>
    </row>
    <row r="389" spans="1:26" s="44" customFormat="1" ht="24" customHeight="1">
      <c r="A389" s="79">
        <v>3</v>
      </c>
      <c r="B389" s="66" t="s">
        <v>281</v>
      </c>
      <c r="C389" s="226"/>
      <c r="D389" s="226"/>
      <c r="E389" s="228">
        <f t="shared" si="159"/>
        <v>0.3</v>
      </c>
      <c r="F389" s="385"/>
      <c r="G389" s="376">
        <f t="shared" si="145"/>
        <v>0.3</v>
      </c>
      <c r="H389" s="377"/>
      <c r="I389" s="382"/>
      <c r="J389" s="377"/>
      <c r="K389" s="377"/>
      <c r="L389" s="383"/>
      <c r="M389" s="377"/>
      <c r="N389" s="377"/>
      <c r="O389" s="376">
        <v>0.3</v>
      </c>
      <c r="P389" s="377"/>
      <c r="Q389" s="377"/>
      <c r="R389" s="377"/>
      <c r="S389" s="377"/>
      <c r="T389" s="377">
        <f t="shared" si="156"/>
        <v>0</v>
      </c>
      <c r="U389" s="377"/>
      <c r="V389" s="376"/>
      <c r="W389" s="377"/>
      <c r="X389" s="377">
        <f t="shared" si="160"/>
        <v>0</v>
      </c>
      <c r="Y389" s="222">
        <f t="shared" si="152"/>
        <v>30000</v>
      </c>
      <c r="Z389" s="223">
        <f t="shared" si="144"/>
        <v>180000</v>
      </c>
    </row>
    <row r="390" spans="1:26" s="44" customFormat="1" ht="24" customHeight="1">
      <c r="A390" s="79">
        <v>4</v>
      </c>
      <c r="B390" s="66" t="s">
        <v>282</v>
      </c>
      <c r="C390" s="226"/>
      <c r="D390" s="226"/>
      <c r="E390" s="228">
        <f t="shared" si="159"/>
        <v>0.3</v>
      </c>
      <c r="F390" s="385"/>
      <c r="G390" s="376">
        <f t="shared" si="145"/>
        <v>0.3</v>
      </c>
      <c r="H390" s="377"/>
      <c r="I390" s="382"/>
      <c r="J390" s="377"/>
      <c r="K390" s="377"/>
      <c r="L390" s="383"/>
      <c r="M390" s="377"/>
      <c r="N390" s="377"/>
      <c r="O390" s="376">
        <v>0.3</v>
      </c>
      <c r="P390" s="377"/>
      <c r="Q390" s="377"/>
      <c r="R390" s="377"/>
      <c r="S390" s="377"/>
      <c r="T390" s="377">
        <f t="shared" si="156"/>
        <v>0</v>
      </c>
      <c r="U390" s="377"/>
      <c r="V390" s="376"/>
      <c r="W390" s="377"/>
      <c r="X390" s="377">
        <f t="shared" si="160"/>
        <v>0</v>
      </c>
      <c r="Y390" s="222">
        <f t="shared" si="152"/>
        <v>30000</v>
      </c>
      <c r="Z390" s="223">
        <f t="shared" si="144"/>
        <v>180000</v>
      </c>
    </row>
    <row r="391" spans="1:26" s="44" customFormat="1" ht="24" customHeight="1">
      <c r="A391" s="79">
        <v>5</v>
      </c>
      <c r="B391" s="66" t="s">
        <v>283</v>
      </c>
      <c r="C391" s="226"/>
      <c r="D391" s="226"/>
      <c r="E391" s="228">
        <f t="shared" si="159"/>
        <v>0.3</v>
      </c>
      <c r="F391" s="385"/>
      <c r="G391" s="376">
        <f t="shared" si="145"/>
        <v>0.3</v>
      </c>
      <c r="H391" s="377"/>
      <c r="I391" s="382"/>
      <c r="J391" s="377"/>
      <c r="K391" s="377"/>
      <c r="L391" s="383"/>
      <c r="M391" s="377"/>
      <c r="N391" s="377"/>
      <c r="O391" s="376">
        <v>0.3</v>
      </c>
      <c r="P391" s="377"/>
      <c r="Q391" s="377"/>
      <c r="R391" s="377"/>
      <c r="S391" s="377"/>
      <c r="T391" s="377">
        <f t="shared" si="156"/>
        <v>0</v>
      </c>
      <c r="U391" s="377"/>
      <c r="V391" s="376"/>
      <c r="W391" s="377"/>
      <c r="X391" s="377">
        <f t="shared" si="160"/>
        <v>0</v>
      </c>
      <c r="Y391" s="222">
        <f t="shared" si="152"/>
        <v>30000</v>
      </c>
      <c r="Z391" s="223">
        <f t="shared" si="144"/>
        <v>180000</v>
      </c>
    </row>
    <row r="392" spans="1:26" s="44" customFormat="1" ht="24" customHeight="1">
      <c r="A392" s="79">
        <v>6</v>
      </c>
      <c r="B392" s="66" t="s">
        <v>284</v>
      </c>
      <c r="C392" s="226"/>
      <c r="D392" s="226"/>
      <c r="E392" s="228">
        <f t="shared" si="159"/>
        <v>0.3</v>
      </c>
      <c r="F392" s="385"/>
      <c r="G392" s="376">
        <f t="shared" si="145"/>
        <v>0.3</v>
      </c>
      <c r="H392" s="377"/>
      <c r="I392" s="382"/>
      <c r="J392" s="377"/>
      <c r="K392" s="377"/>
      <c r="L392" s="383"/>
      <c r="M392" s="377"/>
      <c r="N392" s="377"/>
      <c r="O392" s="376">
        <v>0.3</v>
      </c>
      <c r="P392" s="377"/>
      <c r="Q392" s="377"/>
      <c r="R392" s="377"/>
      <c r="S392" s="377"/>
      <c r="T392" s="377">
        <f t="shared" si="156"/>
        <v>0</v>
      </c>
      <c r="U392" s="377"/>
      <c r="V392" s="376"/>
      <c r="W392" s="377"/>
      <c r="X392" s="377">
        <f t="shared" si="160"/>
        <v>0</v>
      </c>
      <c r="Y392" s="222">
        <f t="shared" si="152"/>
        <v>30000</v>
      </c>
      <c r="Z392" s="223">
        <f t="shared" si="144"/>
        <v>180000</v>
      </c>
    </row>
    <row r="393" spans="1:26" s="44" customFormat="1" ht="24" customHeight="1">
      <c r="A393" s="79">
        <v>7</v>
      </c>
      <c r="B393" s="66" t="s">
        <v>285</v>
      </c>
      <c r="C393" s="226"/>
      <c r="D393" s="226"/>
      <c r="E393" s="228">
        <f t="shared" si="159"/>
        <v>0.3</v>
      </c>
      <c r="F393" s="385"/>
      <c r="G393" s="376">
        <f t="shared" si="145"/>
        <v>0.3</v>
      </c>
      <c r="H393" s="377"/>
      <c r="I393" s="382"/>
      <c r="J393" s="377"/>
      <c r="K393" s="377"/>
      <c r="L393" s="383"/>
      <c r="M393" s="377"/>
      <c r="N393" s="377"/>
      <c r="O393" s="376">
        <v>0.3</v>
      </c>
      <c r="P393" s="377"/>
      <c r="Q393" s="377"/>
      <c r="R393" s="377"/>
      <c r="S393" s="377"/>
      <c r="T393" s="377">
        <f t="shared" si="156"/>
        <v>0</v>
      </c>
      <c r="U393" s="377"/>
      <c r="V393" s="376"/>
      <c r="W393" s="377"/>
      <c r="X393" s="377">
        <f t="shared" si="160"/>
        <v>0</v>
      </c>
      <c r="Y393" s="222">
        <f t="shared" si="152"/>
        <v>30000</v>
      </c>
      <c r="Z393" s="223">
        <f t="shared" si="144"/>
        <v>180000</v>
      </c>
    </row>
    <row r="394" spans="1:26" s="44" customFormat="1" ht="24" customHeight="1">
      <c r="A394" s="79">
        <v>8</v>
      </c>
      <c r="B394" s="66" t="s">
        <v>286</v>
      </c>
      <c r="C394" s="226"/>
      <c r="D394" s="226"/>
      <c r="E394" s="228">
        <f t="shared" si="159"/>
        <v>0.3</v>
      </c>
      <c r="F394" s="385"/>
      <c r="G394" s="376">
        <f t="shared" si="145"/>
        <v>0.3</v>
      </c>
      <c r="H394" s="377"/>
      <c r="I394" s="382"/>
      <c r="J394" s="377"/>
      <c r="K394" s="377"/>
      <c r="L394" s="383"/>
      <c r="M394" s="377"/>
      <c r="N394" s="377"/>
      <c r="O394" s="376">
        <v>0.3</v>
      </c>
      <c r="P394" s="377"/>
      <c r="Q394" s="377"/>
      <c r="R394" s="377"/>
      <c r="S394" s="377"/>
      <c r="T394" s="377">
        <f t="shared" si="156"/>
        <v>0</v>
      </c>
      <c r="U394" s="377"/>
      <c r="V394" s="376"/>
      <c r="W394" s="377"/>
      <c r="X394" s="377">
        <f t="shared" si="160"/>
        <v>0</v>
      </c>
      <c r="Y394" s="222">
        <f t="shared" si="152"/>
        <v>30000</v>
      </c>
      <c r="Z394" s="223">
        <f t="shared" si="144"/>
        <v>180000</v>
      </c>
    </row>
    <row r="395" spans="1:26" s="44" customFormat="1" ht="24" customHeight="1">
      <c r="A395" s="79">
        <v>9</v>
      </c>
      <c r="B395" s="66" t="s">
        <v>287</v>
      </c>
      <c r="C395" s="226"/>
      <c r="D395" s="226"/>
      <c r="E395" s="228">
        <f t="shared" si="159"/>
        <v>0.3</v>
      </c>
      <c r="F395" s="385"/>
      <c r="G395" s="376">
        <f t="shared" si="145"/>
        <v>0.3</v>
      </c>
      <c r="H395" s="377"/>
      <c r="I395" s="382"/>
      <c r="J395" s="377"/>
      <c r="K395" s="377"/>
      <c r="L395" s="383"/>
      <c r="M395" s="377"/>
      <c r="N395" s="377"/>
      <c r="O395" s="376">
        <v>0.3</v>
      </c>
      <c r="P395" s="377"/>
      <c r="Q395" s="377"/>
      <c r="R395" s="377"/>
      <c r="S395" s="377"/>
      <c r="T395" s="377">
        <f t="shared" si="156"/>
        <v>0</v>
      </c>
      <c r="U395" s="377"/>
      <c r="V395" s="376"/>
      <c r="W395" s="377"/>
      <c r="X395" s="377">
        <f t="shared" si="160"/>
        <v>0</v>
      </c>
      <c r="Y395" s="222">
        <f t="shared" si="152"/>
        <v>30000</v>
      </c>
      <c r="Z395" s="223">
        <f t="shared" si="144"/>
        <v>180000</v>
      </c>
    </row>
    <row r="396" spans="1:26" s="44" customFormat="1" ht="24" customHeight="1">
      <c r="A396" s="79">
        <v>10</v>
      </c>
      <c r="B396" s="66" t="s">
        <v>288</v>
      </c>
      <c r="C396" s="226"/>
      <c r="D396" s="226"/>
      <c r="E396" s="228">
        <f t="shared" si="159"/>
        <v>0.3</v>
      </c>
      <c r="F396" s="385"/>
      <c r="G396" s="376">
        <f t="shared" si="145"/>
        <v>0.3</v>
      </c>
      <c r="H396" s="377"/>
      <c r="I396" s="382"/>
      <c r="J396" s="377"/>
      <c r="K396" s="377"/>
      <c r="L396" s="383"/>
      <c r="M396" s="377"/>
      <c r="N396" s="377"/>
      <c r="O396" s="376">
        <v>0.3</v>
      </c>
      <c r="P396" s="377"/>
      <c r="Q396" s="377"/>
      <c r="R396" s="377"/>
      <c r="S396" s="377"/>
      <c r="T396" s="377">
        <f t="shared" si="156"/>
        <v>0</v>
      </c>
      <c r="U396" s="377"/>
      <c r="V396" s="376"/>
      <c r="W396" s="377"/>
      <c r="X396" s="377">
        <f t="shared" si="160"/>
        <v>0</v>
      </c>
      <c r="Y396" s="222">
        <f t="shared" si="152"/>
        <v>30000</v>
      </c>
      <c r="Z396" s="223">
        <f t="shared" si="144"/>
        <v>180000</v>
      </c>
    </row>
    <row r="397" spans="1:26" s="44" customFormat="1" ht="24" customHeight="1">
      <c r="A397" s="79">
        <v>11</v>
      </c>
      <c r="B397" s="66" t="s">
        <v>289</v>
      </c>
      <c r="C397" s="226"/>
      <c r="D397" s="226"/>
      <c r="E397" s="228">
        <f t="shared" si="159"/>
        <v>0.3</v>
      </c>
      <c r="F397" s="385"/>
      <c r="G397" s="376">
        <f t="shared" si="145"/>
        <v>0.3</v>
      </c>
      <c r="H397" s="377"/>
      <c r="I397" s="382"/>
      <c r="J397" s="377"/>
      <c r="K397" s="377"/>
      <c r="L397" s="383"/>
      <c r="M397" s="377"/>
      <c r="N397" s="377"/>
      <c r="O397" s="376">
        <v>0.3</v>
      </c>
      <c r="P397" s="377"/>
      <c r="Q397" s="377"/>
      <c r="R397" s="377"/>
      <c r="S397" s="377"/>
      <c r="T397" s="377">
        <f t="shared" si="156"/>
        <v>0</v>
      </c>
      <c r="U397" s="377"/>
      <c r="V397" s="376"/>
      <c r="W397" s="377"/>
      <c r="X397" s="377">
        <f t="shared" si="160"/>
        <v>0</v>
      </c>
      <c r="Y397" s="222">
        <f t="shared" si="152"/>
        <v>30000</v>
      </c>
      <c r="Z397" s="223">
        <f t="shared" si="144"/>
        <v>180000</v>
      </c>
    </row>
    <row r="398" spans="1:26" s="44" customFormat="1" ht="24" customHeight="1">
      <c r="A398" s="79">
        <v>12</v>
      </c>
      <c r="B398" s="66" t="s">
        <v>290</v>
      </c>
      <c r="C398" s="226"/>
      <c r="D398" s="226"/>
      <c r="E398" s="228">
        <f t="shared" si="159"/>
        <v>0.3</v>
      </c>
      <c r="F398" s="385"/>
      <c r="G398" s="376">
        <f t="shared" si="145"/>
        <v>0.3</v>
      </c>
      <c r="H398" s="377"/>
      <c r="I398" s="382"/>
      <c r="J398" s="377"/>
      <c r="K398" s="377"/>
      <c r="L398" s="383"/>
      <c r="M398" s="377"/>
      <c r="N398" s="377"/>
      <c r="O398" s="376">
        <v>0.3</v>
      </c>
      <c r="P398" s="377"/>
      <c r="Q398" s="377"/>
      <c r="R398" s="377"/>
      <c r="S398" s="377"/>
      <c r="T398" s="377">
        <f t="shared" si="156"/>
        <v>0</v>
      </c>
      <c r="U398" s="377"/>
      <c r="V398" s="376"/>
      <c r="W398" s="377"/>
      <c r="X398" s="377">
        <f t="shared" si="160"/>
        <v>0</v>
      </c>
      <c r="Y398" s="222">
        <f t="shared" si="152"/>
        <v>30000</v>
      </c>
      <c r="Z398" s="223">
        <f t="shared" si="144"/>
        <v>180000</v>
      </c>
    </row>
    <row r="399" spans="1:26" s="44" customFormat="1" ht="24" customHeight="1">
      <c r="A399" s="79">
        <v>13</v>
      </c>
      <c r="B399" s="66" t="s">
        <v>291</v>
      </c>
      <c r="C399" s="226"/>
      <c r="D399" s="226"/>
      <c r="E399" s="228">
        <f t="shared" si="159"/>
        <v>0.3</v>
      </c>
      <c r="F399" s="385"/>
      <c r="G399" s="376">
        <f t="shared" si="145"/>
        <v>0.3</v>
      </c>
      <c r="H399" s="377"/>
      <c r="I399" s="382"/>
      <c r="J399" s="377"/>
      <c r="K399" s="377"/>
      <c r="L399" s="383"/>
      <c r="M399" s="377"/>
      <c r="N399" s="377"/>
      <c r="O399" s="376">
        <v>0.3</v>
      </c>
      <c r="P399" s="377"/>
      <c r="Q399" s="377"/>
      <c r="R399" s="377"/>
      <c r="S399" s="377"/>
      <c r="T399" s="377">
        <f t="shared" si="156"/>
        <v>0</v>
      </c>
      <c r="U399" s="377"/>
      <c r="V399" s="376"/>
      <c r="W399" s="377"/>
      <c r="X399" s="377">
        <f t="shared" si="160"/>
        <v>0</v>
      </c>
      <c r="Y399" s="222">
        <f t="shared" si="152"/>
        <v>30000</v>
      </c>
      <c r="Z399" s="223">
        <f t="shared" si="144"/>
        <v>180000</v>
      </c>
    </row>
    <row r="400" spans="1:26" s="44" customFormat="1" ht="24" customHeight="1">
      <c r="A400" s="79">
        <v>14</v>
      </c>
      <c r="B400" s="66" t="s">
        <v>292</v>
      </c>
      <c r="C400" s="226"/>
      <c r="D400" s="226"/>
      <c r="E400" s="228">
        <f t="shared" si="159"/>
        <v>0.3</v>
      </c>
      <c r="F400" s="385"/>
      <c r="G400" s="376">
        <f t="shared" si="145"/>
        <v>0.3</v>
      </c>
      <c r="H400" s="377"/>
      <c r="I400" s="382"/>
      <c r="J400" s="377"/>
      <c r="K400" s="377"/>
      <c r="L400" s="383"/>
      <c r="M400" s="377"/>
      <c r="N400" s="377"/>
      <c r="O400" s="376">
        <v>0.3</v>
      </c>
      <c r="P400" s="377"/>
      <c r="Q400" s="377"/>
      <c r="R400" s="377"/>
      <c r="S400" s="377"/>
      <c r="T400" s="377">
        <f t="shared" si="156"/>
        <v>0</v>
      </c>
      <c r="U400" s="377"/>
      <c r="V400" s="376"/>
      <c r="W400" s="377"/>
      <c r="X400" s="377">
        <f t="shared" si="160"/>
        <v>0</v>
      </c>
      <c r="Y400" s="222">
        <f t="shared" si="152"/>
        <v>30000</v>
      </c>
      <c r="Z400" s="223">
        <f t="shared" si="144"/>
        <v>180000</v>
      </c>
    </row>
    <row r="401" spans="1:26" s="44" customFormat="1" ht="24" customHeight="1">
      <c r="A401" s="79">
        <v>15</v>
      </c>
      <c r="B401" s="66" t="s">
        <v>293</v>
      </c>
      <c r="C401" s="226"/>
      <c r="D401" s="226"/>
      <c r="E401" s="228">
        <f t="shared" si="159"/>
        <v>0.3</v>
      </c>
      <c r="F401" s="385"/>
      <c r="G401" s="376">
        <f t="shared" si="145"/>
        <v>0.3</v>
      </c>
      <c r="H401" s="377"/>
      <c r="I401" s="382"/>
      <c r="J401" s="377"/>
      <c r="K401" s="377"/>
      <c r="L401" s="383"/>
      <c r="M401" s="377"/>
      <c r="N401" s="377"/>
      <c r="O401" s="376">
        <v>0.3</v>
      </c>
      <c r="P401" s="377"/>
      <c r="Q401" s="377"/>
      <c r="R401" s="377"/>
      <c r="S401" s="377"/>
      <c r="T401" s="377">
        <f t="shared" si="156"/>
        <v>0</v>
      </c>
      <c r="U401" s="377"/>
      <c r="V401" s="376"/>
      <c r="W401" s="377"/>
      <c r="X401" s="377">
        <f t="shared" si="160"/>
        <v>0</v>
      </c>
      <c r="Y401" s="222">
        <f t="shared" si="152"/>
        <v>30000</v>
      </c>
      <c r="Z401" s="223">
        <f t="shared" si="144"/>
        <v>180000</v>
      </c>
    </row>
    <row r="402" spans="1:26" s="44" customFormat="1" ht="24" customHeight="1">
      <c r="A402" s="79">
        <v>16</v>
      </c>
      <c r="B402" s="66" t="s">
        <v>294</v>
      </c>
      <c r="C402" s="226"/>
      <c r="D402" s="226"/>
      <c r="E402" s="228">
        <f t="shared" si="159"/>
        <v>0.3</v>
      </c>
      <c r="F402" s="385"/>
      <c r="G402" s="376">
        <f t="shared" si="145"/>
        <v>0.3</v>
      </c>
      <c r="H402" s="377"/>
      <c r="I402" s="382"/>
      <c r="J402" s="377"/>
      <c r="K402" s="377"/>
      <c r="L402" s="383"/>
      <c r="M402" s="377"/>
      <c r="N402" s="377"/>
      <c r="O402" s="376">
        <v>0.3</v>
      </c>
      <c r="P402" s="377"/>
      <c r="Q402" s="377"/>
      <c r="R402" s="377"/>
      <c r="S402" s="377"/>
      <c r="T402" s="377">
        <f t="shared" si="156"/>
        <v>0</v>
      </c>
      <c r="U402" s="377"/>
      <c r="V402" s="376"/>
      <c r="W402" s="377"/>
      <c r="X402" s="377">
        <f t="shared" si="160"/>
        <v>0</v>
      </c>
      <c r="Y402" s="222">
        <f t="shared" si="152"/>
        <v>30000</v>
      </c>
      <c r="Z402" s="223">
        <f t="shared" si="144"/>
        <v>180000</v>
      </c>
    </row>
    <row r="403" spans="1:26" s="44" customFormat="1" ht="24" customHeight="1">
      <c r="A403" s="79">
        <v>17</v>
      </c>
      <c r="B403" s="66" t="s">
        <v>295</v>
      </c>
      <c r="C403" s="226"/>
      <c r="D403" s="226"/>
      <c r="E403" s="228">
        <f t="shared" si="159"/>
        <v>0.3</v>
      </c>
      <c r="F403" s="385"/>
      <c r="G403" s="376">
        <f t="shared" si="145"/>
        <v>0.3</v>
      </c>
      <c r="H403" s="377"/>
      <c r="I403" s="382"/>
      <c r="J403" s="377"/>
      <c r="K403" s="377"/>
      <c r="L403" s="383"/>
      <c r="M403" s="377"/>
      <c r="N403" s="377"/>
      <c r="O403" s="376">
        <v>0.3</v>
      </c>
      <c r="P403" s="377"/>
      <c r="Q403" s="377"/>
      <c r="R403" s="377"/>
      <c r="S403" s="377"/>
      <c r="T403" s="377">
        <f t="shared" si="156"/>
        <v>0</v>
      </c>
      <c r="U403" s="377"/>
      <c r="V403" s="376"/>
      <c r="W403" s="377"/>
      <c r="X403" s="377">
        <f t="shared" si="160"/>
        <v>0</v>
      </c>
      <c r="Y403" s="222">
        <f t="shared" si="152"/>
        <v>30000</v>
      </c>
      <c r="Z403" s="223">
        <f t="shared" si="144"/>
        <v>180000</v>
      </c>
    </row>
    <row r="404" spans="1:26" s="44" customFormat="1" ht="24" customHeight="1">
      <c r="A404" s="79">
        <v>18</v>
      </c>
      <c r="B404" s="66" t="s">
        <v>296</v>
      </c>
      <c r="C404" s="226"/>
      <c r="D404" s="226"/>
      <c r="E404" s="228">
        <f t="shared" si="159"/>
        <v>0.3</v>
      </c>
      <c r="F404" s="385"/>
      <c r="G404" s="376">
        <f t="shared" si="145"/>
        <v>0.3</v>
      </c>
      <c r="H404" s="377"/>
      <c r="I404" s="382"/>
      <c r="J404" s="377"/>
      <c r="K404" s="377"/>
      <c r="L404" s="383"/>
      <c r="M404" s="377"/>
      <c r="N404" s="377"/>
      <c r="O404" s="376">
        <v>0.3</v>
      </c>
      <c r="P404" s="377"/>
      <c r="Q404" s="377"/>
      <c r="R404" s="377"/>
      <c r="S404" s="377"/>
      <c r="T404" s="377">
        <f t="shared" si="156"/>
        <v>0</v>
      </c>
      <c r="U404" s="377"/>
      <c r="V404" s="376"/>
      <c r="W404" s="377"/>
      <c r="X404" s="377">
        <f t="shared" si="160"/>
        <v>0</v>
      </c>
      <c r="Y404" s="222">
        <f t="shared" si="152"/>
        <v>30000</v>
      </c>
      <c r="Z404" s="223">
        <f t="shared" si="144"/>
        <v>180000</v>
      </c>
    </row>
    <row r="405" spans="1:26" s="44" customFormat="1" ht="24" customHeight="1">
      <c r="A405" s="79">
        <v>19</v>
      </c>
      <c r="B405" s="97" t="s">
        <v>297</v>
      </c>
      <c r="C405" s="226"/>
      <c r="D405" s="226"/>
      <c r="E405" s="228">
        <f t="shared" si="159"/>
        <v>0.3</v>
      </c>
      <c r="F405" s="385"/>
      <c r="G405" s="376">
        <f t="shared" si="145"/>
        <v>0.3</v>
      </c>
      <c r="H405" s="377"/>
      <c r="I405" s="382"/>
      <c r="J405" s="377"/>
      <c r="K405" s="377"/>
      <c r="L405" s="383"/>
      <c r="M405" s="377"/>
      <c r="N405" s="377"/>
      <c r="O405" s="376">
        <v>0.3</v>
      </c>
      <c r="P405" s="377"/>
      <c r="Q405" s="377"/>
      <c r="R405" s="377"/>
      <c r="S405" s="377"/>
      <c r="T405" s="377">
        <f t="shared" si="156"/>
        <v>0</v>
      </c>
      <c r="U405" s="377"/>
      <c r="V405" s="376"/>
      <c r="W405" s="377"/>
      <c r="X405" s="377">
        <f t="shared" si="160"/>
        <v>0</v>
      </c>
      <c r="Y405" s="222">
        <f t="shared" si="152"/>
        <v>30000</v>
      </c>
      <c r="Z405" s="223">
        <f t="shared" si="144"/>
        <v>180000</v>
      </c>
    </row>
    <row r="406" spans="1:26" s="44" customFormat="1" ht="24" customHeight="1">
      <c r="A406" s="79">
        <v>20</v>
      </c>
      <c r="B406" s="97" t="s">
        <v>298</v>
      </c>
      <c r="C406" s="226"/>
      <c r="D406" s="226"/>
      <c r="E406" s="228">
        <f t="shared" si="159"/>
        <v>0.3</v>
      </c>
      <c r="F406" s="385"/>
      <c r="G406" s="376">
        <f t="shared" si="145"/>
        <v>0.3</v>
      </c>
      <c r="H406" s="377"/>
      <c r="I406" s="382"/>
      <c r="J406" s="377"/>
      <c r="K406" s="377"/>
      <c r="L406" s="383"/>
      <c r="M406" s="377"/>
      <c r="N406" s="377"/>
      <c r="O406" s="376">
        <v>0.3</v>
      </c>
      <c r="P406" s="377"/>
      <c r="Q406" s="377"/>
      <c r="R406" s="377"/>
      <c r="S406" s="377"/>
      <c r="T406" s="377">
        <f t="shared" si="156"/>
        <v>0</v>
      </c>
      <c r="U406" s="377"/>
      <c r="V406" s="376"/>
      <c r="W406" s="377"/>
      <c r="X406" s="377">
        <f t="shared" si="160"/>
        <v>0</v>
      </c>
      <c r="Y406" s="222">
        <f t="shared" si="152"/>
        <v>30000</v>
      </c>
      <c r="Z406" s="223">
        <f t="shared" si="144"/>
        <v>180000</v>
      </c>
    </row>
    <row r="407" spans="1:26" s="44" customFormat="1" ht="24" customHeight="1">
      <c r="A407" s="79">
        <v>21</v>
      </c>
      <c r="B407" s="97" t="s">
        <v>299</v>
      </c>
      <c r="C407" s="226"/>
      <c r="D407" s="226"/>
      <c r="E407" s="228">
        <f t="shared" si="159"/>
        <v>0.3</v>
      </c>
      <c r="F407" s="385"/>
      <c r="G407" s="376">
        <f t="shared" si="145"/>
        <v>0.3</v>
      </c>
      <c r="H407" s="377"/>
      <c r="I407" s="382"/>
      <c r="J407" s="377"/>
      <c r="K407" s="377"/>
      <c r="L407" s="383"/>
      <c r="M407" s="377"/>
      <c r="N407" s="377"/>
      <c r="O407" s="376">
        <v>0.3</v>
      </c>
      <c r="P407" s="377"/>
      <c r="Q407" s="377"/>
      <c r="R407" s="377"/>
      <c r="S407" s="377"/>
      <c r="T407" s="377">
        <f t="shared" si="156"/>
        <v>0</v>
      </c>
      <c r="U407" s="377"/>
      <c r="V407" s="376"/>
      <c r="W407" s="377"/>
      <c r="X407" s="377">
        <f t="shared" si="160"/>
        <v>0</v>
      </c>
      <c r="Y407" s="222">
        <f t="shared" si="152"/>
        <v>30000</v>
      </c>
      <c r="Z407" s="223">
        <f t="shared" si="144"/>
        <v>180000</v>
      </c>
    </row>
    <row r="408" spans="1:26" s="44" customFormat="1" ht="24" customHeight="1">
      <c r="A408" s="79">
        <v>22</v>
      </c>
      <c r="B408" s="97" t="s">
        <v>300</v>
      </c>
      <c r="C408" s="226"/>
      <c r="D408" s="226"/>
      <c r="E408" s="228">
        <f t="shared" si="159"/>
        <v>0.3</v>
      </c>
      <c r="F408" s="385"/>
      <c r="G408" s="376">
        <f t="shared" ref="G408:G471" si="161">+SUM(H408:W408)</f>
        <v>0.3</v>
      </c>
      <c r="H408" s="377"/>
      <c r="I408" s="382"/>
      <c r="J408" s="377"/>
      <c r="K408" s="377"/>
      <c r="L408" s="383"/>
      <c r="M408" s="377"/>
      <c r="N408" s="377"/>
      <c r="O408" s="376">
        <v>0.3</v>
      </c>
      <c r="P408" s="377"/>
      <c r="Q408" s="377"/>
      <c r="R408" s="377"/>
      <c r="S408" s="377"/>
      <c r="T408" s="377">
        <f t="shared" si="156"/>
        <v>0</v>
      </c>
      <c r="U408" s="377"/>
      <c r="V408" s="376"/>
      <c r="W408" s="377"/>
      <c r="X408" s="377">
        <f t="shared" si="160"/>
        <v>0</v>
      </c>
      <c r="Y408" s="222">
        <f t="shared" si="152"/>
        <v>30000</v>
      </c>
      <c r="Z408" s="223">
        <f t="shared" si="144"/>
        <v>180000</v>
      </c>
    </row>
    <row r="409" spans="1:26" s="44" customFormat="1" ht="24" customHeight="1">
      <c r="A409" s="79">
        <v>23</v>
      </c>
      <c r="B409" s="97" t="s">
        <v>301</v>
      </c>
      <c r="C409" s="226"/>
      <c r="D409" s="226"/>
      <c r="E409" s="228">
        <f t="shared" si="159"/>
        <v>0.3</v>
      </c>
      <c r="F409" s="385"/>
      <c r="G409" s="376">
        <f t="shared" si="161"/>
        <v>0.3</v>
      </c>
      <c r="H409" s="377"/>
      <c r="I409" s="382"/>
      <c r="J409" s="377"/>
      <c r="K409" s="377"/>
      <c r="L409" s="383"/>
      <c r="M409" s="377"/>
      <c r="N409" s="377"/>
      <c r="O409" s="376">
        <v>0.3</v>
      </c>
      <c r="P409" s="377"/>
      <c r="Q409" s="377"/>
      <c r="R409" s="377"/>
      <c r="S409" s="377"/>
      <c r="T409" s="377">
        <f t="shared" si="156"/>
        <v>0</v>
      </c>
      <c r="U409" s="377"/>
      <c r="V409" s="376"/>
      <c r="W409" s="377"/>
      <c r="X409" s="377">
        <f t="shared" si="160"/>
        <v>0</v>
      </c>
      <c r="Y409" s="222">
        <f t="shared" si="152"/>
        <v>30000</v>
      </c>
      <c r="Z409" s="223">
        <f t="shared" si="144"/>
        <v>180000</v>
      </c>
    </row>
    <row r="410" spans="1:26" s="44" customFormat="1" ht="24" customHeight="1">
      <c r="A410" s="79">
        <v>24</v>
      </c>
      <c r="B410" s="97" t="s">
        <v>163</v>
      </c>
      <c r="C410" s="226"/>
      <c r="D410" s="226"/>
      <c r="E410" s="228">
        <f t="shared" si="159"/>
        <v>0.3</v>
      </c>
      <c r="F410" s="385"/>
      <c r="G410" s="376">
        <f t="shared" si="161"/>
        <v>0.3</v>
      </c>
      <c r="H410" s="377"/>
      <c r="I410" s="382"/>
      <c r="J410" s="377"/>
      <c r="K410" s="377"/>
      <c r="L410" s="383"/>
      <c r="M410" s="377"/>
      <c r="N410" s="377"/>
      <c r="O410" s="376">
        <v>0.3</v>
      </c>
      <c r="P410" s="377"/>
      <c r="Q410" s="377"/>
      <c r="R410" s="377"/>
      <c r="S410" s="377"/>
      <c r="T410" s="377">
        <f t="shared" si="156"/>
        <v>0</v>
      </c>
      <c r="U410" s="377"/>
      <c r="V410" s="376"/>
      <c r="W410" s="377"/>
      <c r="X410" s="377">
        <f t="shared" si="160"/>
        <v>0</v>
      </c>
      <c r="Y410" s="222">
        <f t="shared" si="152"/>
        <v>30000</v>
      </c>
      <c r="Z410" s="223">
        <f t="shared" si="144"/>
        <v>180000</v>
      </c>
    </row>
    <row r="411" spans="1:26" s="44" customFormat="1" ht="24" customHeight="1">
      <c r="A411" s="79">
        <v>25</v>
      </c>
      <c r="B411" s="97" t="s">
        <v>302</v>
      </c>
      <c r="C411" s="226"/>
      <c r="D411" s="226"/>
      <c r="E411" s="228">
        <f t="shared" si="159"/>
        <v>0.3</v>
      </c>
      <c r="F411" s="385"/>
      <c r="G411" s="376">
        <f t="shared" si="161"/>
        <v>0.3</v>
      </c>
      <c r="H411" s="377"/>
      <c r="I411" s="382"/>
      <c r="J411" s="377"/>
      <c r="K411" s="377"/>
      <c r="L411" s="383"/>
      <c r="M411" s="377"/>
      <c r="N411" s="377"/>
      <c r="O411" s="376">
        <v>0.3</v>
      </c>
      <c r="P411" s="377"/>
      <c r="Q411" s="377"/>
      <c r="R411" s="377"/>
      <c r="S411" s="377"/>
      <c r="T411" s="377">
        <f t="shared" si="156"/>
        <v>0</v>
      </c>
      <c r="U411" s="377"/>
      <c r="V411" s="376"/>
      <c r="W411" s="377"/>
      <c r="X411" s="377">
        <f t="shared" si="160"/>
        <v>0</v>
      </c>
      <c r="Y411" s="222">
        <f t="shared" si="152"/>
        <v>30000</v>
      </c>
      <c r="Z411" s="223">
        <f t="shared" ref="Z411:Z474" si="162">Y411*6</f>
        <v>180000</v>
      </c>
    </row>
    <row r="412" spans="1:26" s="44" customFormat="1" ht="24" customHeight="1">
      <c r="A412" s="79">
        <v>26</v>
      </c>
      <c r="B412" s="97" t="s">
        <v>303</v>
      </c>
      <c r="C412" s="226"/>
      <c r="D412" s="226"/>
      <c r="E412" s="228">
        <f t="shared" si="159"/>
        <v>0.3</v>
      </c>
      <c r="F412" s="385"/>
      <c r="G412" s="376">
        <f t="shared" si="161"/>
        <v>0.3</v>
      </c>
      <c r="H412" s="377"/>
      <c r="I412" s="382"/>
      <c r="J412" s="377"/>
      <c r="K412" s="377"/>
      <c r="L412" s="383"/>
      <c r="M412" s="377"/>
      <c r="N412" s="377"/>
      <c r="O412" s="376">
        <v>0.3</v>
      </c>
      <c r="P412" s="377"/>
      <c r="Q412" s="377"/>
      <c r="R412" s="377"/>
      <c r="S412" s="377"/>
      <c r="T412" s="377">
        <f t="shared" si="156"/>
        <v>0</v>
      </c>
      <c r="U412" s="377"/>
      <c r="V412" s="376"/>
      <c r="W412" s="377"/>
      <c r="X412" s="377">
        <f t="shared" si="160"/>
        <v>0</v>
      </c>
      <c r="Y412" s="222">
        <f t="shared" si="152"/>
        <v>30000</v>
      </c>
      <c r="Z412" s="223">
        <f t="shared" si="162"/>
        <v>180000</v>
      </c>
    </row>
    <row r="413" spans="1:26" s="44" customFormat="1" ht="24" customHeight="1">
      <c r="A413" s="79">
        <v>27</v>
      </c>
      <c r="B413" s="97" t="s">
        <v>304</v>
      </c>
      <c r="C413" s="226"/>
      <c r="D413" s="226"/>
      <c r="E413" s="228">
        <f t="shared" si="159"/>
        <v>0.3</v>
      </c>
      <c r="F413" s="385"/>
      <c r="G413" s="376">
        <f t="shared" si="161"/>
        <v>0.3</v>
      </c>
      <c r="H413" s="377"/>
      <c r="I413" s="382"/>
      <c r="J413" s="377"/>
      <c r="K413" s="377"/>
      <c r="L413" s="383"/>
      <c r="M413" s="377"/>
      <c r="N413" s="377"/>
      <c r="O413" s="376">
        <v>0.3</v>
      </c>
      <c r="P413" s="377"/>
      <c r="Q413" s="377"/>
      <c r="R413" s="377"/>
      <c r="S413" s="377"/>
      <c r="T413" s="377">
        <f t="shared" si="156"/>
        <v>0</v>
      </c>
      <c r="U413" s="377"/>
      <c r="V413" s="376"/>
      <c r="W413" s="377"/>
      <c r="X413" s="377">
        <f t="shared" si="160"/>
        <v>0</v>
      </c>
      <c r="Y413" s="222">
        <f t="shared" si="152"/>
        <v>30000</v>
      </c>
      <c r="Z413" s="223">
        <f t="shared" si="162"/>
        <v>180000</v>
      </c>
    </row>
    <row r="414" spans="1:26" s="44" customFormat="1" ht="24" customHeight="1">
      <c r="A414" s="79">
        <v>28</v>
      </c>
      <c r="B414" s="97" t="s">
        <v>310</v>
      </c>
      <c r="C414" s="226"/>
      <c r="D414" s="226"/>
      <c r="E414" s="228">
        <f t="shared" si="159"/>
        <v>0.3</v>
      </c>
      <c r="F414" s="385"/>
      <c r="G414" s="376">
        <f t="shared" si="161"/>
        <v>0.3</v>
      </c>
      <c r="H414" s="377"/>
      <c r="I414" s="382"/>
      <c r="J414" s="377"/>
      <c r="K414" s="377"/>
      <c r="L414" s="383"/>
      <c r="M414" s="377"/>
      <c r="N414" s="377"/>
      <c r="O414" s="376">
        <v>0.3</v>
      </c>
      <c r="P414" s="377"/>
      <c r="Q414" s="377"/>
      <c r="R414" s="377"/>
      <c r="S414" s="377"/>
      <c r="T414" s="377">
        <f t="shared" si="156"/>
        <v>0</v>
      </c>
      <c r="U414" s="377"/>
      <c r="V414" s="376"/>
      <c r="W414" s="377"/>
      <c r="X414" s="377">
        <f t="shared" si="160"/>
        <v>0</v>
      </c>
      <c r="Y414" s="222">
        <f t="shared" si="152"/>
        <v>30000</v>
      </c>
      <c r="Z414" s="223">
        <f t="shared" si="162"/>
        <v>180000</v>
      </c>
    </row>
    <row r="415" spans="1:26" s="44" customFormat="1" ht="24" customHeight="1">
      <c r="A415" s="80" t="s">
        <v>611</v>
      </c>
      <c r="B415" s="45" t="s">
        <v>337</v>
      </c>
      <c r="C415" s="229">
        <v>23</v>
      </c>
      <c r="D415" s="229">
        <v>17</v>
      </c>
      <c r="E415" s="231">
        <f>E416+E428+E435+E437+E447+E475</f>
        <v>134.08094999999997</v>
      </c>
      <c r="F415" s="381">
        <f t="shared" ref="F415:X415" si="163">F416+F428+F435+F437+F447+F475</f>
        <v>78.61</v>
      </c>
      <c r="G415" s="381">
        <f t="shared" si="163"/>
        <v>45.748699999999999</v>
      </c>
      <c r="H415" s="381">
        <f t="shared" si="163"/>
        <v>0</v>
      </c>
      <c r="I415" s="381">
        <f t="shared" si="163"/>
        <v>1.5999999999999996</v>
      </c>
      <c r="J415" s="381">
        <f t="shared" si="163"/>
        <v>0</v>
      </c>
      <c r="K415" s="381">
        <f t="shared" si="163"/>
        <v>0</v>
      </c>
      <c r="L415" s="381">
        <f t="shared" si="163"/>
        <v>3.1541999999999994</v>
      </c>
      <c r="M415" s="381">
        <f t="shared" si="163"/>
        <v>0</v>
      </c>
      <c r="N415" s="381">
        <f t="shared" si="163"/>
        <v>2.6999999999999997</v>
      </c>
      <c r="O415" s="381">
        <f t="shared" si="163"/>
        <v>8.0999999999999979</v>
      </c>
      <c r="P415" s="381">
        <f t="shared" si="163"/>
        <v>0</v>
      </c>
      <c r="Q415" s="381">
        <f t="shared" si="163"/>
        <v>0</v>
      </c>
      <c r="R415" s="381">
        <f t="shared" si="163"/>
        <v>11.592000000000001</v>
      </c>
      <c r="S415" s="381">
        <f t="shared" si="163"/>
        <v>7.6999999999999993</v>
      </c>
      <c r="T415" s="381">
        <f t="shared" si="163"/>
        <v>10.802499999999998</v>
      </c>
      <c r="U415" s="381">
        <f t="shared" si="163"/>
        <v>0</v>
      </c>
      <c r="V415" s="381">
        <f t="shared" si="163"/>
        <v>0.1</v>
      </c>
      <c r="W415" s="381">
        <f t="shared" si="163"/>
        <v>0</v>
      </c>
      <c r="X415" s="381">
        <f t="shared" si="163"/>
        <v>9.7222499999999989</v>
      </c>
      <c r="Y415" s="236">
        <f>Y416+Y428+Y435+Y437+Y447+Y475</f>
        <v>13408095</v>
      </c>
      <c r="Z415" s="236">
        <f>Z416+Z428+Z435+Z437+Z447+Z475</f>
        <v>80448570</v>
      </c>
    </row>
    <row r="416" spans="1:26" s="44" customFormat="1" ht="24" customHeight="1">
      <c r="A416" s="81" t="s">
        <v>2</v>
      </c>
      <c r="B416" s="82" t="s">
        <v>138</v>
      </c>
      <c r="C416" s="237"/>
      <c r="D416" s="237"/>
      <c r="E416" s="238">
        <f>SUM(E417:E427)</f>
        <v>54.845699999999994</v>
      </c>
      <c r="F416" s="387">
        <f t="shared" ref="F416:Z416" si="164">SUM(F417:F427)</f>
        <v>24.779999999999998</v>
      </c>
      <c r="G416" s="387">
        <f t="shared" si="164"/>
        <v>24.130199999999995</v>
      </c>
      <c r="H416" s="387">
        <f t="shared" si="164"/>
        <v>0</v>
      </c>
      <c r="I416" s="387">
        <f t="shared" si="164"/>
        <v>1.5999999999999996</v>
      </c>
      <c r="J416" s="387">
        <f t="shared" si="164"/>
        <v>0</v>
      </c>
      <c r="K416" s="387">
        <f t="shared" si="164"/>
        <v>0</v>
      </c>
      <c r="L416" s="387">
        <f t="shared" si="164"/>
        <v>2.8541999999999996</v>
      </c>
      <c r="M416" s="387">
        <f t="shared" si="164"/>
        <v>0</v>
      </c>
      <c r="N416" s="387">
        <f t="shared" si="164"/>
        <v>0</v>
      </c>
      <c r="O416" s="387">
        <f t="shared" si="164"/>
        <v>0</v>
      </c>
      <c r="P416" s="387">
        <f t="shared" si="164"/>
        <v>0</v>
      </c>
      <c r="Q416" s="387">
        <f t="shared" si="164"/>
        <v>0</v>
      </c>
      <c r="R416" s="387">
        <f t="shared" si="164"/>
        <v>8.2810000000000006</v>
      </c>
      <c r="S416" s="387">
        <f t="shared" si="164"/>
        <v>4.8</v>
      </c>
      <c r="T416" s="387">
        <f t="shared" si="164"/>
        <v>6.5949999999999989</v>
      </c>
      <c r="U416" s="387">
        <f t="shared" si="164"/>
        <v>0</v>
      </c>
      <c r="V416" s="387">
        <f t="shared" si="164"/>
        <v>0</v>
      </c>
      <c r="W416" s="387">
        <f t="shared" si="164"/>
        <v>0</v>
      </c>
      <c r="X416" s="387">
        <f t="shared" si="164"/>
        <v>5.9354999999999993</v>
      </c>
      <c r="Y416" s="237">
        <f t="shared" si="164"/>
        <v>5484570</v>
      </c>
      <c r="Z416" s="237">
        <f t="shared" si="164"/>
        <v>32907420</v>
      </c>
    </row>
    <row r="417" spans="1:26" s="44" customFormat="1" ht="24" customHeight="1">
      <c r="A417" s="98" t="s">
        <v>20</v>
      </c>
      <c r="B417" s="99" t="s">
        <v>311</v>
      </c>
      <c r="C417" s="239"/>
      <c r="D417" s="239"/>
      <c r="E417" s="228">
        <f t="shared" ref="E417:E427" si="165">+F417+G417+X417</f>
        <v>3.7379999999999995</v>
      </c>
      <c r="F417" s="388"/>
      <c r="G417" s="376">
        <f t="shared" si="161"/>
        <v>3.7379999999999995</v>
      </c>
      <c r="H417" s="377"/>
      <c r="I417" s="388"/>
      <c r="J417" s="377"/>
      <c r="K417" s="377"/>
      <c r="L417" s="386"/>
      <c r="M417" s="377"/>
      <c r="N417" s="377"/>
      <c r="O417" s="382"/>
      <c r="P417" s="377"/>
      <c r="Q417" s="377"/>
      <c r="R417" s="377">
        <v>3.7379999999999995</v>
      </c>
      <c r="S417" s="377"/>
      <c r="T417" s="377">
        <f t="shared" si="156"/>
        <v>0</v>
      </c>
      <c r="U417" s="377"/>
      <c r="V417" s="376"/>
      <c r="W417" s="377"/>
      <c r="X417" s="377">
        <f t="shared" ref="X417:X427" si="166">(F417+I417+J417+K417)*22.5/100</f>
        <v>0</v>
      </c>
      <c r="Y417" s="222">
        <f t="shared" si="152"/>
        <v>373799.99999999994</v>
      </c>
      <c r="Z417" s="223">
        <f t="shared" si="162"/>
        <v>2242799.9999999995</v>
      </c>
    </row>
    <row r="418" spans="1:26" s="44" customFormat="1" ht="24" customHeight="1">
      <c r="A418" s="98" t="s">
        <v>140</v>
      </c>
      <c r="B418" s="99" t="s">
        <v>312</v>
      </c>
      <c r="C418" s="239"/>
      <c r="D418" s="239"/>
      <c r="E418" s="228">
        <f t="shared" si="165"/>
        <v>8.9422499999999996</v>
      </c>
      <c r="F418" s="388">
        <v>3.86</v>
      </c>
      <c r="G418" s="376">
        <f t="shared" si="161"/>
        <v>4.1574999999999998</v>
      </c>
      <c r="H418" s="377"/>
      <c r="I418" s="388">
        <v>0.25</v>
      </c>
      <c r="J418" s="377"/>
      <c r="K418" s="377"/>
      <c r="L418" s="385">
        <f>F418*0.5+I418</f>
        <v>2.1799999999999997</v>
      </c>
      <c r="M418" s="377"/>
      <c r="N418" s="377"/>
      <c r="O418" s="382"/>
      <c r="P418" s="377"/>
      <c r="Q418" s="377"/>
      <c r="R418" s="377"/>
      <c r="S418" s="377">
        <v>0.7</v>
      </c>
      <c r="T418" s="377">
        <f t="shared" si="156"/>
        <v>1.0274999999999999</v>
      </c>
      <c r="U418" s="377"/>
      <c r="V418" s="376"/>
      <c r="W418" s="377"/>
      <c r="X418" s="377">
        <f t="shared" si="166"/>
        <v>0.92474999999999996</v>
      </c>
      <c r="Y418" s="222">
        <f t="shared" si="152"/>
        <v>894225</v>
      </c>
      <c r="Z418" s="223">
        <f t="shared" si="162"/>
        <v>5365350</v>
      </c>
    </row>
    <row r="419" spans="1:26" s="44" customFormat="1" ht="24" customHeight="1">
      <c r="A419" s="98" t="s">
        <v>21</v>
      </c>
      <c r="B419" s="99" t="s">
        <v>313</v>
      </c>
      <c r="C419" s="239"/>
      <c r="D419" s="239"/>
      <c r="E419" s="228">
        <f t="shared" si="165"/>
        <v>5.2872500000000002</v>
      </c>
      <c r="F419" s="388">
        <v>2.86</v>
      </c>
      <c r="G419" s="376">
        <f t="shared" si="161"/>
        <v>1.7275</v>
      </c>
      <c r="H419" s="377"/>
      <c r="I419" s="388">
        <v>0.25</v>
      </c>
      <c r="J419" s="377"/>
      <c r="K419" s="377"/>
      <c r="L419" s="385"/>
      <c r="M419" s="377"/>
      <c r="N419" s="377"/>
      <c r="O419" s="382"/>
      <c r="P419" s="377"/>
      <c r="Q419" s="377"/>
      <c r="R419" s="377"/>
      <c r="S419" s="377">
        <v>0.7</v>
      </c>
      <c r="T419" s="377">
        <f t="shared" si="156"/>
        <v>0.77749999999999997</v>
      </c>
      <c r="U419" s="377"/>
      <c r="V419" s="376"/>
      <c r="W419" s="377"/>
      <c r="X419" s="377">
        <f t="shared" si="166"/>
        <v>0.69974999999999998</v>
      </c>
      <c r="Y419" s="222">
        <f t="shared" si="152"/>
        <v>528725</v>
      </c>
      <c r="Z419" s="223">
        <f t="shared" si="162"/>
        <v>3172350</v>
      </c>
    </row>
    <row r="420" spans="1:26" s="44" customFormat="1" ht="24" customHeight="1">
      <c r="A420" s="98" t="s">
        <v>22</v>
      </c>
      <c r="B420" s="99" t="s">
        <v>314</v>
      </c>
      <c r="C420" s="239"/>
      <c r="D420" s="239"/>
      <c r="E420" s="228">
        <f t="shared" si="165"/>
        <v>5.7399999999999993</v>
      </c>
      <c r="F420" s="388">
        <v>3</v>
      </c>
      <c r="G420" s="376">
        <f t="shared" si="161"/>
        <v>2.02</v>
      </c>
      <c r="H420" s="377"/>
      <c r="I420" s="388">
        <v>0.2</v>
      </c>
      <c r="J420" s="377"/>
      <c r="K420" s="377"/>
      <c r="L420" s="385">
        <f>(F420+I420)*10/100</f>
        <v>0.32</v>
      </c>
      <c r="M420" s="377"/>
      <c r="N420" s="377"/>
      <c r="O420" s="382"/>
      <c r="P420" s="377"/>
      <c r="Q420" s="377"/>
      <c r="R420" s="377"/>
      <c r="S420" s="377">
        <v>0.7</v>
      </c>
      <c r="T420" s="377">
        <f t="shared" si="156"/>
        <v>0.8</v>
      </c>
      <c r="U420" s="377"/>
      <c r="V420" s="376"/>
      <c r="W420" s="377"/>
      <c r="X420" s="377">
        <f t="shared" si="166"/>
        <v>0.72</v>
      </c>
      <c r="Y420" s="222">
        <f t="shared" si="152"/>
        <v>573999.99999999988</v>
      </c>
      <c r="Z420" s="223">
        <f t="shared" si="162"/>
        <v>3443999.9999999991</v>
      </c>
    </row>
    <row r="421" spans="1:26" s="44" customFormat="1" ht="24" customHeight="1">
      <c r="A421" s="98" t="s">
        <v>12</v>
      </c>
      <c r="B421" s="99" t="s">
        <v>315</v>
      </c>
      <c r="C421" s="239"/>
      <c r="D421" s="239"/>
      <c r="E421" s="228">
        <f t="shared" si="165"/>
        <v>4.2465000000000002</v>
      </c>
      <c r="F421" s="388">
        <v>2.34</v>
      </c>
      <c r="G421" s="376">
        <f t="shared" si="161"/>
        <v>1.335</v>
      </c>
      <c r="H421" s="377"/>
      <c r="I421" s="388">
        <v>0.2</v>
      </c>
      <c r="J421" s="377"/>
      <c r="K421" s="377"/>
      <c r="L421" s="385"/>
      <c r="M421" s="377"/>
      <c r="N421" s="377"/>
      <c r="O421" s="382"/>
      <c r="P421" s="377"/>
      <c r="Q421" s="377"/>
      <c r="R421" s="377"/>
      <c r="S421" s="377">
        <v>0.5</v>
      </c>
      <c r="T421" s="377">
        <f t="shared" si="156"/>
        <v>0.63500000000000001</v>
      </c>
      <c r="U421" s="377"/>
      <c r="V421" s="376"/>
      <c r="W421" s="377"/>
      <c r="X421" s="377">
        <f t="shared" si="166"/>
        <v>0.57150000000000001</v>
      </c>
      <c r="Y421" s="222">
        <f t="shared" si="152"/>
        <v>424650</v>
      </c>
      <c r="Z421" s="223">
        <f t="shared" si="162"/>
        <v>2547900</v>
      </c>
    </row>
    <row r="422" spans="1:26" s="44" customFormat="1" ht="24" customHeight="1">
      <c r="A422" s="98" t="s">
        <v>36</v>
      </c>
      <c r="B422" s="99" t="s">
        <v>316</v>
      </c>
      <c r="C422" s="239"/>
      <c r="D422" s="239"/>
      <c r="E422" s="228">
        <f t="shared" si="165"/>
        <v>3.7385000000000002</v>
      </c>
      <c r="F422" s="388">
        <v>1.86</v>
      </c>
      <c r="G422" s="376">
        <f t="shared" si="161"/>
        <v>1.415</v>
      </c>
      <c r="H422" s="377"/>
      <c r="I422" s="388">
        <v>0.2</v>
      </c>
      <c r="J422" s="377"/>
      <c r="K422" s="377"/>
      <c r="L422" s="385"/>
      <c r="M422" s="377"/>
      <c r="N422" s="377"/>
      <c r="O422" s="382"/>
      <c r="P422" s="377"/>
      <c r="Q422" s="377"/>
      <c r="R422" s="377"/>
      <c r="S422" s="377">
        <v>0.7</v>
      </c>
      <c r="T422" s="377">
        <f t="shared" si="156"/>
        <v>0.51500000000000001</v>
      </c>
      <c r="U422" s="377"/>
      <c r="V422" s="376"/>
      <c r="W422" s="377"/>
      <c r="X422" s="377">
        <f t="shared" si="166"/>
        <v>0.46350000000000002</v>
      </c>
      <c r="Y422" s="222">
        <f t="shared" ref="Y422:Y485" si="167">E422*100000</f>
        <v>373850</v>
      </c>
      <c r="Z422" s="223">
        <f t="shared" si="162"/>
        <v>2243100</v>
      </c>
    </row>
    <row r="423" spans="1:26" s="44" customFormat="1" ht="24" customHeight="1">
      <c r="A423" s="98" t="s">
        <v>37</v>
      </c>
      <c r="B423" s="99" t="s">
        <v>317</v>
      </c>
      <c r="C423" s="239"/>
      <c r="D423" s="239"/>
      <c r="E423" s="228">
        <f t="shared" si="165"/>
        <v>3.5385</v>
      </c>
      <c r="F423" s="388">
        <v>1.86</v>
      </c>
      <c r="G423" s="376">
        <f t="shared" si="161"/>
        <v>1.2149999999999999</v>
      </c>
      <c r="H423" s="377"/>
      <c r="I423" s="388">
        <v>0.2</v>
      </c>
      <c r="J423" s="377"/>
      <c r="K423" s="377"/>
      <c r="L423" s="385"/>
      <c r="M423" s="377"/>
      <c r="N423" s="377"/>
      <c r="O423" s="382"/>
      <c r="P423" s="377"/>
      <c r="Q423" s="377"/>
      <c r="R423" s="377"/>
      <c r="S423" s="377">
        <v>0.5</v>
      </c>
      <c r="T423" s="377">
        <f t="shared" si="156"/>
        <v>0.51500000000000001</v>
      </c>
      <c r="U423" s="377"/>
      <c r="V423" s="376"/>
      <c r="W423" s="377"/>
      <c r="X423" s="377">
        <f t="shared" si="166"/>
        <v>0.46350000000000002</v>
      </c>
      <c r="Y423" s="222">
        <f t="shared" si="167"/>
        <v>353850</v>
      </c>
      <c r="Z423" s="223">
        <f t="shared" si="162"/>
        <v>2123100</v>
      </c>
    </row>
    <row r="424" spans="1:26" s="44" customFormat="1" ht="24" customHeight="1">
      <c r="A424" s="98" t="s">
        <v>146</v>
      </c>
      <c r="B424" s="99" t="s">
        <v>318</v>
      </c>
      <c r="C424" s="239"/>
      <c r="D424" s="239"/>
      <c r="E424" s="228">
        <f t="shared" si="165"/>
        <v>5.4157499999999992</v>
      </c>
      <c r="F424" s="388">
        <v>2.34</v>
      </c>
      <c r="G424" s="376">
        <f t="shared" si="161"/>
        <v>2.5154999999999998</v>
      </c>
      <c r="H424" s="377"/>
      <c r="I424" s="388">
        <v>0.15</v>
      </c>
      <c r="J424" s="377"/>
      <c r="K424" s="377"/>
      <c r="L424" s="385"/>
      <c r="M424" s="377"/>
      <c r="N424" s="377"/>
      <c r="O424" s="382"/>
      <c r="P424" s="377"/>
      <c r="Q424" s="377"/>
      <c r="R424" s="377">
        <f>(F424+I424)*70/100</f>
        <v>1.7429999999999999</v>
      </c>
      <c r="S424" s="377"/>
      <c r="T424" s="377">
        <f t="shared" si="156"/>
        <v>0.62249999999999994</v>
      </c>
      <c r="U424" s="377"/>
      <c r="V424" s="376"/>
      <c r="W424" s="377"/>
      <c r="X424" s="377">
        <f t="shared" si="166"/>
        <v>0.56024999999999991</v>
      </c>
      <c r="Y424" s="222">
        <f t="shared" si="167"/>
        <v>541574.99999999988</v>
      </c>
      <c r="Z424" s="223">
        <f t="shared" si="162"/>
        <v>3249449.9999999991</v>
      </c>
    </row>
    <row r="425" spans="1:26" s="44" customFormat="1" ht="24" customHeight="1">
      <c r="A425" s="98" t="s">
        <v>148</v>
      </c>
      <c r="B425" s="99" t="s">
        <v>319</v>
      </c>
      <c r="C425" s="239"/>
      <c r="D425" s="239"/>
      <c r="E425" s="228">
        <f t="shared" si="165"/>
        <v>5.5512499999999996</v>
      </c>
      <c r="F425" s="388">
        <v>2.25</v>
      </c>
      <c r="G425" s="376">
        <f t="shared" si="161"/>
        <v>2.7949999999999999</v>
      </c>
      <c r="H425" s="377"/>
      <c r="I425" s="388"/>
      <c r="J425" s="377"/>
      <c r="K425" s="377"/>
      <c r="L425" s="385">
        <f>(F425+I425)*7/100</f>
        <v>0.1575</v>
      </c>
      <c r="M425" s="377"/>
      <c r="N425" s="377"/>
      <c r="O425" s="382"/>
      <c r="P425" s="377"/>
      <c r="Q425" s="377"/>
      <c r="R425" s="377">
        <f>(F425+I425)*70/100</f>
        <v>1.575</v>
      </c>
      <c r="S425" s="377">
        <v>0.5</v>
      </c>
      <c r="T425" s="377">
        <f t="shared" si="156"/>
        <v>0.5625</v>
      </c>
      <c r="U425" s="377"/>
      <c r="V425" s="376"/>
      <c r="W425" s="377"/>
      <c r="X425" s="377">
        <f t="shared" si="166"/>
        <v>0.50624999999999998</v>
      </c>
      <c r="Y425" s="222">
        <f t="shared" si="167"/>
        <v>555125</v>
      </c>
      <c r="Z425" s="223">
        <f t="shared" si="162"/>
        <v>3330750</v>
      </c>
    </row>
    <row r="426" spans="1:26" s="44" customFormat="1" ht="24" customHeight="1">
      <c r="A426" s="98" t="s">
        <v>150</v>
      </c>
      <c r="B426" s="99" t="s">
        <v>320</v>
      </c>
      <c r="C426" s="239"/>
      <c r="D426" s="239"/>
      <c r="E426" s="228">
        <f t="shared" si="165"/>
        <v>4.84145</v>
      </c>
      <c r="F426" s="388">
        <v>2.66</v>
      </c>
      <c r="G426" s="376">
        <f t="shared" si="161"/>
        <v>1.5491999999999999</v>
      </c>
      <c r="H426" s="377"/>
      <c r="I426" s="388">
        <v>0.15</v>
      </c>
      <c r="J426" s="377"/>
      <c r="K426" s="377"/>
      <c r="L426" s="385">
        <f>(F426+I426)*7/100</f>
        <v>0.19670000000000001</v>
      </c>
      <c r="M426" s="377"/>
      <c r="N426" s="377"/>
      <c r="O426" s="382"/>
      <c r="P426" s="377"/>
      <c r="Q426" s="377"/>
      <c r="R426" s="377"/>
      <c r="S426" s="377">
        <v>0.5</v>
      </c>
      <c r="T426" s="377">
        <f t="shared" si="156"/>
        <v>0.70250000000000001</v>
      </c>
      <c r="U426" s="377"/>
      <c r="V426" s="376"/>
      <c r="W426" s="377"/>
      <c r="X426" s="377">
        <f t="shared" si="166"/>
        <v>0.63224999999999998</v>
      </c>
      <c r="Y426" s="222">
        <f t="shared" si="167"/>
        <v>484145</v>
      </c>
      <c r="Z426" s="223">
        <f t="shared" si="162"/>
        <v>2904870</v>
      </c>
    </row>
    <row r="427" spans="1:26" s="44" customFormat="1" ht="24" customHeight="1">
      <c r="A427" s="98" t="s">
        <v>162</v>
      </c>
      <c r="B427" s="99" t="s">
        <v>321</v>
      </c>
      <c r="C427" s="239"/>
      <c r="D427" s="239"/>
      <c r="E427" s="228">
        <f t="shared" si="165"/>
        <v>3.8062499999999999</v>
      </c>
      <c r="F427" s="388">
        <v>1.75</v>
      </c>
      <c r="G427" s="376">
        <f t="shared" si="161"/>
        <v>1.6625000000000001</v>
      </c>
      <c r="H427" s="377"/>
      <c r="I427" s="388"/>
      <c r="J427" s="377"/>
      <c r="K427" s="377"/>
      <c r="L427" s="386"/>
      <c r="M427" s="377"/>
      <c r="N427" s="377"/>
      <c r="O427" s="382"/>
      <c r="P427" s="377"/>
      <c r="Q427" s="377"/>
      <c r="R427" s="377">
        <v>1.2250000000000001</v>
      </c>
      <c r="S427" s="377"/>
      <c r="T427" s="377">
        <f t="shared" si="156"/>
        <v>0.4375</v>
      </c>
      <c r="U427" s="377"/>
      <c r="V427" s="376"/>
      <c r="W427" s="377"/>
      <c r="X427" s="377">
        <f t="shared" si="166"/>
        <v>0.39374999999999999</v>
      </c>
      <c r="Y427" s="222">
        <f t="shared" si="167"/>
        <v>380625</v>
      </c>
      <c r="Z427" s="223">
        <f t="shared" si="162"/>
        <v>2283750</v>
      </c>
    </row>
    <row r="428" spans="1:26" s="44" customFormat="1" ht="24" customHeight="1">
      <c r="A428" s="81" t="s">
        <v>3</v>
      </c>
      <c r="B428" s="240" t="s">
        <v>152</v>
      </c>
      <c r="C428" s="241"/>
      <c r="D428" s="241"/>
      <c r="E428" s="238">
        <f>SUM(E429:E434)</f>
        <v>25.627999999999997</v>
      </c>
      <c r="F428" s="387">
        <f t="shared" ref="F428:Z428" si="168">SUM(F429:F434)</f>
        <v>14.16</v>
      </c>
      <c r="G428" s="387">
        <f t="shared" si="168"/>
        <v>8.282</v>
      </c>
      <c r="H428" s="387">
        <f t="shared" si="168"/>
        <v>0</v>
      </c>
      <c r="I428" s="387">
        <f t="shared" si="168"/>
        <v>0</v>
      </c>
      <c r="J428" s="387">
        <f t="shared" si="168"/>
        <v>0</v>
      </c>
      <c r="K428" s="387">
        <f t="shared" si="168"/>
        <v>0</v>
      </c>
      <c r="L428" s="387">
        <f t="shared" si="168"/>
        <v>0.3</v>
      </c>
      <c r="M428" s="387">
        <f t="shared" si="168"/>
        <v>0</v>
      </c>
      <c r="N428" s="387">
        <f t="shared" si="168"/>
        <v>0</v>
      </c>
      <c r="O428" s="387">
        <f t="shared" si="168"/>
        <v>0</v>
      </c>
      <c r="P428" s="387">
        <f t="shared" si="168"/>
        <v>0</v>
      </c>
      <c r="Q428" s="387">
        <f t="shared" si="168"/>
        <v>0</v>
      </c>
      <c r="R428" s="387">
        <f t="shared" si="168"/>
        <v>1.4420000000000002</v>
      </c>
      <c r="S428" s="387">
        <f t="shared" si="168"/>
        <v>2.9</v>
      </c>
      <c r="T428" s="387">
        <f t="shared" si="168"/>
        <v>3.54</v>
      </c>
      <c r="U428" s="387">
        <f t="shared" si="168"/>
        <v>0</v>
      </c>
      <c r="V428" s="387">
        <f t="shared" si="168"/>
        <v>0.1</v>
      </c>
      <c r="W428" s="387">
        <f t="shared" si="168"/>
        <v>0</v>
      </c>
      <c r="X428" s="387">
        <f t="shared" si="168"/>
        <v>3.1860000000000004</v>
      </c>
      <c r="Y428" s="237">
        <f t="shared" si="168"/>
        <v>2562800</v>
      </c>
      <c r="Z428" s="237">
        <f t="shared" si="168"/>
        <v>15376799.999999998</v>
      </c>
    </row>
    <row r="429" spans="1:26" s="44" customFormat="1" ht="24" customHeight="1">
      <c r="A429" s="100" t="s">
        <v>20</v>
      </c>
      <c r="B429" s="99" t="s">
        <v>322</v>
      </c>
      <c r="C429" s="239"/>
      <c r="D429" s="239"/>
      <c r="E429" s="228">
        <f t="shared" ref="E429:E436" si="169">+F429+G429+X429</f>
        <v>5.2249999999999996</v>
      </c>
      <c r="F429" s="388">
        <v>3</v>
      </c>
      <c r="G429" s="376">
        <f t="shared" si="161"/>
        <v>1.55</v>
      </c>
      <c r="H429" s="377"/>
      <c r="I429" s="388"/>
      <c r="J429" s="377"/>
      <c r="K429" s="377"/>
      <c r="L429" s="386"/>
      <c r="M429" s="377"/>
      <c r="N429" s="377"/>
      <c r="O429" s="382"/>
      <c r="P429" s="377"/>
      <c r="Q429" s="377"/>
      <c r="R429" s="377"/>
      <c r="S429" s="377">
        <v>0.7</v>
      </c>
      <c r="T429" s="377">
        <f t="shared" si="156"/>
        <v>0.75</v>
      </c>
      <c r="U429" s="377"/>
      <c r="V429" s="376">
        <v>0.1</v>
      </c>
      <c r="W429" s="377"/>
      <c r="X429" s="377">
        <f t="shared" ref="X429:X436" si="170">(F429+I429+J429+K429)*22.5/100</f>
        <v>0.67500000000000004</v>
      </c>
      <c r="Y429" s="222">
        <f t="shared" si="167"/>
        <v>522499.99999999994</v>
      </c>
      <c r="Z429" s="223">
        <f t="shared" si="162"/>
        <v>3134999.9999999995</v>
      </c>
    </row>
    <row r="430" spans="1:26" s="44" customFormat="1" ht="24" customHeight="1">
      <c r="A430" s="100" t="s">
        <v>140</v>
      </c>
      <c r="B430" s="99" t="s">
        <v>323</v>
      </c>
      <c r="C430" s="239"/>
      <c r="D430" s="239"/>
      <c r="E430" s="228">
        <f t="shared" si="169"/>
        <v>2.4404999999999997</v>
      </c>
      <c r="F430" s="389">
        <v>1.18</v>
      </c>
      <c r="G430" s="376">
        <f t="shared" si="161"/>
        <v>0.99499999999999988</v>
      </c>
      <c r="H430" s="377"/>
      <c r="I430" s="388"/>
      <c r="J430" s="377"/>
      <c r="K430" s="377"/>
      <c r="L430" s="386"/>
      <c r="M430" s="377"/>
      <c r="N430" s="377"/>
      <c r="O430" s="382"/>
      <c r="P430" s="377"/>
      <c r="Q430" s="377"/>
      <c r="R430" s="377"/>
      <c r="S430" s="377">
        <v>0.7</v>
      </c>
      <c r="T430" s="377">
        <f t="shared" si="156"/>
        <v>0.29499999999999998</v>
      </c>
      <c r="U430" s="377"/>
      <c r="V430" s="376"/>
      <c r="W430" s="377"/>
      <c r="X430" s="377">
        <f t="shared" si="170"/>
        <v>0.26549999999999996</v>
      </c>
      <c r="Y430" s="222">
        <f t="shared" si="167"/>
        <v>244049.99999999997</v>
      </c>
      <c r="Z430" s="223">
        <f t="shared" si="162"/>
        <v>1464299.9999999998</v>
      </c>
    </row>
    <row r="431" spans="1:26" s="44" customFormat="1" ht="24" customHeight="1">
      <c r="A431" s="100" t="s">
        <v>21</v>
      </c>
      <c r="B431" s="99" t="s">
        <v>324</v>
      </c>
      <c r="C431" s="239"/>
      <c r="D431" s="239"/>
      <c r="E431" s="228">
        <f t="shared" si="169"/>
        <v>4.1284999999999998</v>
      </c>
      <c r="F431" s="389">
        <v>2.46</v>
      </c>
      <c r="G431" s="376">
        <f t="shared" si="161"/>
        <v>1.115</v>
      </c>
      <c r="H431" s="377"/>
      <c r="I431" s="388"/>
      <c r="J431" s="377"/>
      <c r="K431" s="377"/>
      <c r="L431" s="386"/>
      <c r="M431" s="377"/>
      <c r="N431" s="377"/>
      <c r="O431" s="382"/>
      <c r="P431" s="377"/>
      <c r="Q431" s="377"/>
      <c r="R431" s="377"/>
      <c r="S431" s="377">
        <v>0.5</v>
      </c>
      <c r="T431" s="377">
        <f t="shared" si="156"/>
        <v>0.61499999999999999</v>
      </c>
      <c r="U431" s="377"/>
      <c r="V431" s="376"/>
      <c r="W431" s="377"/>
      <c r="X431" s="377">
        <f t="shared" si="170"/>
        <v>0.55349999999999999</v>
      </c>
      <c r="Y431" s="222">
        <f t="shared" si="167"/>
        <v>412850</v>
      </c>
      <c r="Z431" s="223">
        <f t="shared" si="162"/>
        <v>2477100</v>
      </c>
    </row>
    <row r="432" spans="1:26" s="44" customFormat="1" ht="24" customHeight="1">
      <c r="A432" s="100" t="s">
        <v>22</v>
      </c>
      <c r="B432" s="99" t="s">
        <v>325</v>
      </c>
      <c r="C432" s="239"/>
      <c r="D432" s="239"/>
      <c r="E432" s="228">
        <f t="shared" si="169"/>
        <v>5.2249999999999996</v>
      </c>
      <c r="F432" s="389">
        <v>3</v>
      </c>
      <c r="G432" s="376">
        <f t="shared" si="161"/>
        <v>1.55</v>
      </c>
      <c r="H432" s="377"/>
      <c r="I432" s="388"/>
      <c r="J432" s="377"/>
      <c r="K432" s="377"/>
      <c r="L432" s="385">
        <f>(F432+I432)*10/100</f>
        <v>0.3</v>
      </c>
      <c r="M432" s="377"/>
      <c r="N432" s="377"/>
      <c r="O432" s="382"/>
      <c r="P432" s="377"/>
      <c r="Q432" s="377"/>
      <c r="R432" s="377"/>
      <c r="S432" s="377">
        <v>0.5</v>
      </c>
      <c r="T432" s="377">
        <f t="shared" si="156"/>
        <v>0.75</v>
      </c>
      <c r="U432" s="377"/>
      <c r="V432" s="376"/>
      <c r="W432" s="377"/>
      <c r="X432" s="377">
        <f t="shared" si="170"/>
        <v>0.67500000000000004</v>
      </c>
      <c r="Y432" s="222">
        <f t="shared" si="167"/>
        <v>522499.99999999994</v>
      </c>
      <c r="Z432" s="223">
        <f t="shared" si="162"/>
        <v>3134999.9999999995</v>
      </c>
    </row>
    <row r="433" spans="1:26" s="44" customFormat="1" ht="24" customHeight="1">
      <c r="A433" s="100" t="s">
        <v>12</v>
      </c>
      <c r="B433" s="99" t="s">
        <v>326</v>
      </c>
      <c r="C433" s="239"/>
      <c r="D433" s="239"/>
      <c r="E433" s="228">
        <f t="shared" si="169"/>
        <v>4.4805000000000001</v>
      </c>
      <c r="F433" s="389">
        <v>2.06</v>
      </c>
      <c r="G433" s="376">
        <f t="shared" si="161"/>
        <v>1.9570000000000003</v>
      </c>
      <c r="H433" s="377"/>
      <c r="I433" s="388"/>
      <c r="J433" s="377"/>
      <c r="K433" s="377"/>
      <c r="L433" s="385"/>
      <c r="M433" s="377"/>
      <c r="N433" s="377"/>
      <c r="O433" s="382"/>
      <c r="P433" s="377"/>
      <c r="Q433" s="377"/>
      <c r="R433" s="377">
        <f>(F433+I433)*70/100</f>
        <v>1.4420000000000002</v>
      </c>
      <c r="S433" s="377"/>
      <c r="T433" s="377">
        <f t="shared" si="156"/>
        <v>0.51500000000000001</v>
      </c>
      <c r="U433" s="377"/>
      <c r="V433" s="376"/>
      <c r="W433" s="377"/>
      <c r="X433" s="377">
        <f t="shared" si="170"/>
        <v>0.46350000000000002</v>
      </c>
      <c r="Y433" s="222">
        <f t="shared" si="167"/>
        <v>448050</v>
      </c>
      <c r="Z433" s="223">
        <f t="shared" si="162"/>
        <v>2688300</v>
      </c>
    </row>
    <row r="434" spans="1:26" s="44" customFormat="1" ht="24" customHeight="1">
      <c r="A434" s="100" t="s">
        <v>36</v>
      </c>
      <c r="B434" s="99" t="s">
        <v>327</v>
      </c>
      <c r="C434" s="239"/>
      <c r="D434" s="239"/>
      <c r="E434" s="228">
        <f t="shared" si="169"/>
        <v>4.1284999999999998</v>
      </c>
      <c r="F434" s="389">
        <v>2.46</v>
      </c>
      <c r="G434" s="376">
        <f t="shared" si="161"/>
        <v>1.115</v>
      </c>
      <c r="H434" s="377"/>
      <c r="I434" s="388"/>
      <c r="J434" s="377"/>
      <c r="K434" s="377"/>
      <c r="L434" s="385"/>
      <c r="M434" s="377"/>
      <c r="N434" s="377"/>
      <c r="O434" s="382"/>
      <c r="P434" s="377"/>
      <c r="Q434" s="377"/>
      <c r="R434" s="377"/>
      <c r="S434" s="377">
        <v>0.5</v>
      </c>
      <c r="T434" s="377">
        <f t="shared" si="156"/>
        <v>0.61499999999999999</v>
      </c>
      <c r="U434" s="377"/>
      <c r="V434" s="376"/>
      <c r="W434" s="377"/>
      <c r="X434" s="377">
        <f t="shared" si="170"/>
        <v>0.55349999999999999</v>
      </c>
      <c r="Y434" s="222">
        <f t="shared" si="167"/>
        <v>412850</v>
      </c>
      <c r="Z434" s="223">
        <f t="shared" si="162"/>
        <v>2477100</v>
      </c>
    </row>
    <row r="435" spans="1:26" s="44" customFormat="1" ht="24" customHeight="1">
      <c r="A435" s="101" t="s">
        <v>4</v>
      </c>
      <c r="B435" s="102" t="s">
        <v>328</v>
      </c>
      <c r="C435" s="239"/>
      <c r="D435" s="239"/>
      <c r="E435" s="231">
        <f t="shared" si="169"/>
        <v>5.8072499999999998</v>
      </c>
      <c r="F435" s="387">
        <f>F436</f>
        <v>2.67</v>
      </c>
      <c r="G435" s="381">
        <f t="shared" si="161"/>
        <v>2.5364999999999998</v>
      </c>
      <c r="H435" s="380"/>
      <c r="I435" s="387"/>
      <c r="J435" s="380"/>
      <c r="K435" s="380"/>
      <c r="L435" s="390"/>
      <c r="M435" s="380"/>
      <c r="N435" s="380"/>
      <c r="O435" s="391"/>
      <c r="P435" s="380"/>
      <c r="Q435" s="380"/>
      <c r="R435" s="380">
        <v>1.8689999999999998</v>
      </c>
      <c r="S435" s="380">
        <v>0</v>
      </c>
      <c r="T435" s="380">
        <f t="shared" si="156"/>
        <v>0.66749999999999998</v>
      </c>
      <c r="U435" s="380"/>
      <c r="V435" s="381"/>
      <c r="W435" s="380"/>
      <c r="X435" s="380">
        <f t="shared" si="170"/>
        <v>0.60075000000000001</v>
      </c>
      <c r="Y435" s="17">
        <f t="shared" si="167"/>
        <v>580725</v>
      </c>
      <c r="Z435" s="242">
        <f t="shared" si="162"/>
        <v>3484350</v>
      </c>
    </row>
    <row r="436" spans="1:26" s="44" customFormat="1" ht="24" customHeight="1">
      <c r="A436" s="100" t="s">
        <v>20</v>
      </c>
      <c r="B436" s="99" t="s">
        <v>329</v>
      </c>
      <c r="C436" s="239"/>
      <c r="D436" s="239"/>
      <c r="E436" s="228">
        <f t="shared" si="169"/>
        <v>5.8072499999999998</v>
      </c>
      <c r="F436" s="389">
        <v>2.67</v>
      </c>
      <c r="G436" s="376">
        <f t="shared" si="161"/>
        <v>2.5365000000000002</v>
      </c>
      <c r="H436" s="377"/>
      <c r="I436" s="388"/>
      <c r="J436" s="377"/>
      <c r="K436" s="377"/>
      <c r="L436" s="385"/>
      <c r="M436" s="377"/>
      <c r="N436" s="377"/>
      <c r="O436" s="382"/>
      <c r="P436" s="377"/>
      <c r="Q436" s="377"/>
      <c r="R436" s="377">
        <f>(F436+I436)*70/100</f>
        <v>1.869</v>
      </c>
      <c r="S436" s="377"/>
      <c r="T436" s="377">
        <f t="shared" si="156"/>
        <v>0.66749999999999998</v>
      </c>
      <c r="U436" s="377"/>
      <c r="V436" s="376"/>
      <c r="W436" s="377"/>
      <c r="X436" s="377">
        <f t="shared" si="170"/>
        <v>0.60075000000000001</v>
      </c>
      <c r="Y436" s="222">
        <f t="shared" si="167"/>
        <v>580725</v>
      </c>
      <c r="Z436" s="223">
        <f t="shared" si="162"/>
        <v>3484350</v>
      </c>
    </row>
    <row r="437" spans="1:26" s="44" customFormat="1" ht="24" customHeight="1">
      <c r="A437" s="81" t="s">
        <v>59</v>
      </c>
      <c r="B437" s="240" t="s">
        <v>330</v>
      </c>
      <c r="C437" s="237"/>
      <c r="D437" s="237"/>
      <c r="E437" s="231">
        <f>SUM(E438:E446)</f>
        <v>2.6999999999999997</v>
      </c>
      <c r="F437" s="381">
        <f t="shared" ref="F437:Z437" si="171">SUM(F438:F446)</f>
        <v>0</v>
      </c>
      <c r="G437" s="381">
        <f t="shared" si="171"/>
        <v>2.6999999999999997</v>
      </c>
      <c r="H437" s="381">
        <f t="shared" si="171"/>
        <v>0</v>
      </c>
      <c r="I437" s="381">
        <f t="shared" si="171"/>
        <v>0</v>
      </c>
      <c r="J437" s="381">
        <f t="shared" si="171"/>
        <v>0</v>
      </c>
      <c r="K437" s="381">
        <f t="shared" si="171"/>
        <v>0</v>
      </c>
      <c r="L437" s="381">
        <f t="shared" si="171"/>
        <v>0</v>
      </c>
      <c r="M437" s="381">
        <f t="shared" si="171"/>
        <v>0</v>
      </c>
      <c r="N437" s="381">
        <f t="shared" si="171"/>
        <v>2.6999999999999997</v>
      </c>
      <c r="O437" s="381">
        <f t="shared" si="171"/>
        <v>0</v>
      </c>
      <c r="P437" s="381">
        <f t="shared" si="171"/>
        <v>0</v>
      </c>
      <c r="Q437" s="381">
        <f t="shared" si="171"/>
        <v>0</v>
      </c>
      <c r="R437" s="381">
        <f t="shared" si="171"/>
        <v>0</v>
      </c>
      <c r="S437" s="381">
        <f t="shared" si="171"/>
        <v>0</v>
      </c>
      <c r="T437" s="381">
        <f t="shared" si="171"/>
        <v>0</v>
      </c>
      <c r="U437" s="381">
        <f t="shared" si="171"/>
        <v>0</v>
      </c>
      <c r="V437" s="381">
        <f t="shared" si="171"/>
        <v>0</v>
      </c>
      <c r="W437" s="381">
        <f t="shared" si="171"/>
        <v>0</v>
      </c>
      <c r="X437" s="381">
        <f t="shared" si="171"/>
        <v>0</v>
      </c>
      <c r="Y437" s="232">
        <f t="shared" si="171"/>
        <v>270000</v>
      </c>
      <c r="Z437" s="232">
        <f t="shared" si="171"/>
        <v>1620000</v>
      </c>
    </row>
    <row r="438" spans="1:26" s="44" customFormat="1" ht="24" customHeight="1">
      <c r="A438" s="103" t="s">
        <v>20</v>
      </c>
      <c r="B438" s="104" t="s">
        <v>312</v>
      </c>
      <c r="C438" s="237"/>
      <c r="D438" s="237"/>
      <c r="E438" s="228">
        <f t="shared" ref="E438:E446" si="172">+F438+G438+X438</f>
        <v>0.3</v>
      </c>
      <c r="F438" s="392"/>
      <c r="G438" s="376">
        <f t="shared" ref="G438:G446" si="173">+SUM(H438:W438)</f>
        <v>0.3</v>
      </c>
      <c r="H438" s="377"/>
      <c r="I438" s="387"/>
      <c r="J438" s="377"/>
      <c r="K438" s="377"/>
      <c r="L438" s="386"/>
      <c r="M438" s="377"/>
      <c r="N438" s="385">
        <v>0.3</v>
      </c>
      <c r="O438" s="385"/>
      <c r="P438" s="377"/>
      <c r="Q438" s="377"/>
      <c r="R438" s="377"/>
      <c r="S438" s="377"/>
      <c r="T438" s="377">
        <f t="shared" ref="T438:T446" si="174">(F438+I438+J438)*25/100</f>
        <v>0</v>
      </c>
      <c r="U438" s="377"/>
      <c r="V438" s="376"/>
      <c r="W438" s="377"/>
      <c r="X438" s="377">
        <f t="shared" ref="X438:X446" si="175">(F438+I438+J438+K438)*22.5/100</f>
        <v>0</v>
      </c>
      <c r="Y438" s="222">
        <f t="shared" si="167"/>
        <v>30000</v>
      </c>
      <c r="Z438" s="223">
        <f t="shared" si="162"/>
        <v>180000</v>
      </c>
    </row>
    <row r="439" spans="1:26" s="44" customFormat="1" ht="24" customHeight="1">
      <c r="A439" s="103" t="s">
        <v>140</v>
      </c>
      <c r="B439" s="105" t="s">
        <v>313</v>
      </c>
      <c r="C439" s="237"/>
      <c r="D439" s="237"/>
      <c r="E439" s="228">
        <f t="shared" si="172"/>
        <v>0.3</v>
      </c>
      <c r="F439" s="392"/>
      <c r="G439" s="376">
        <f t="shared" si="173"/>
        <v>0.3</v>
      </c>
      <c r="H439" s="377"/>
      <c r="I439" s="387"/>
      <c r="J439" s="377"/>
      <c r="K439" s="377"/>
      <c r="L439" s="386"/>
      <c r="M439" s="377"/>
      <c r="N439" s="385">
        <v>0.3</v>
      </c>
      <c r="O439" s="385"/>
      <c r="P439" s="377"/>
      <c r="Q439" s="377"/>
      <c r="R439" s="377"/>
      <c r="S439" s="377"/>
      <c r="T439" s="377">
        <f t="shared" si="174"/>
        <v>0</v>
      </c>
      <c r="U439" s="377"/>
      <c r="V439" s="376"/>
      <c r="W439" s="377"/>
      <c r="X439" s="377">
        <f t="shared" si="175"/>
        <v>0</v>
      </c>
      <c r="Y439" s="222">
        <f t="shared" si="167"/>
        <v>30000</v>
      </c>
      <c r="Z439" s="223">
        <f t="shared" si="162"/>
        <v>180000</v>
      </c>
    </row>
    <row r="440" spans="1:26" s="44" customFormat="1" ht="24" customHeight="1">
      <c r="A440" s="103" t="s">
        <v>21</v>
      </c>
      <c r="B440" s="105" t="s">
        <v>315</v>
      </c>
      <c r="C440" s="237"/>
      <c r="D440" s="237"/>
      <c r="E440" s="228">
        <f t="shared" si="172"/>
        <v>0.3</v>
      </c>
      <c r="F440" s="392"/>
      <c r="G440" s="376">
        <f t="shared" si="173"/>
        <v>0.3</v>
      </c>
      <c r="H440" s="377"/>
      <c r="I440" s="387"/>
      <c r="J440" s="377"/>
      <c r="K440" s="377"/>
      <c r="L440" s="386"/>
      <c r="M440" s="377"/>
      <c r="N440" s="385">
        <v>0.3</v>
      </c>
      <c r="O440" s="385"/>
      <c r="P440" s="377"/>
      <c r="Q440" s="377"/>
      <c r="R440" s="377"/>
      <c r="S440" s="377"/>
      <c r="T440" s="377">
        <f t="shared" si="174"/>
        <v>0</v>
      </c>
      <c r="U440" s="377"/>
      <c r="V440" s="376"/>
      <c r="W440" s="377"/>
      <c r="X440" s="377">
        <f t="shared" si="175"/>
        <v>0</v>
      </c>
      <c r="Y440" s="222">
        <f t="shared" si="167"/>
        <v>30000</v>
      </c>
      <c r="Z440" s="223">
        <f t="shared" si="162"/>
        <v>180000</v>
      </c>
    </row>
    <row r="441" spans="1:26" s="44" customFormat="1" ht="24" customHeight="1">
      <c r="A441" s="103" t="s">
        <v>22</v>
      </c>
      <c r="B441" s="105" t="s">
        <v>316</v>
      </c>
      <c r="C441" s="237"/>
      <c r="D441" s="237"/>
      <c r="E441" s="228">
        <f t="shared" si="172"/>
        <v>0.3</v>
      </c>
      <c r="F441" s="392"/>
      <c r="G441" s="376">
        <f t="shared" si="173"/>
        <v>0.3</v>
      </c>
      <c r="H441" s="377"/>
      <c r="I441" s="387"/>
      <c r="J441" s="377"/>
      <c r="K441" s="377"/>
      <c r="L441" s="386"/>
      <c r="M441" s="377"/>
      <c r="N441" s="385">
        <v>0.3</v>
      </c>
      <c r="O441" s="385"/>
      <c r="P441" s="377"/>
      <c r="Q441" s="377"/>
      <c r="R441" s="377"/>
      <c r="S441" s="377"/>
      <c r="T441" s="377">
        <f t="shared" si="174"/>
        <v>0</v>
      </c>
      <c r="U441" s="377"/>
      <c r="V441" s="376"/>
      <c r="W441" s="377"/>
      <c r="X441" s="377">
        <f t="shared" si="175"/>
        <v>0</v>
      </c>
      <c r="Y441" s="222">
        <f t="shared" si="167"/>
        <v>30000</v>
      </c>
      <c r="Z441" s="223">
        <f t="shared" si="162"/>
        <v>180000</v>
      </c>
    </row>
    <row r="442" spans="1:26" s="44" customFormat="1" ht="24" customHeight="1">
      <c r="A442" s="103" t="s">
        <v>12</v>
      </c>
      <c r="B442" s="104" t="s">
        <v>314</v>
      </c>
      <c r="C442" s="237"/>
      <c r="D442" s="237"/>
      <c r="E442" s="228">
        <f t="shared" si="172"/>
        <v>0.3</v>
      </c>
      <c r="F442" s="392"/>
      <c r="G442" s="376">
        <f t="shared" si="173"/>
        <v>0.3</v>
      </c>
      <c r="H442" s="377"/>
      <c r="I442" s="387"/>
      <c r="J442" s="377"/>
      <c r="K442" s="377"/>
      <c r="L442" s="386"/>
      <c r="M442" s="377"/>
      <c r="N442" s="385">
        <v>0.3</v>
      </c>
      <c r="O442" s="385"/>
      <c r="P442" s="377"/>
      <c r="Q442" s="377"/>
      <c r="R442" s="377"/>
      <c r="S442" s="377"/>
      <c r="T442" s="377">
        <f t="shared" si="174"/>
        <v>0</v>
      </c>
      <c r="U442" s="377"/>
      <c r="V442" s="376"/>
      <c r="W442" s="377"/>
      <c r="X442" s="377">
        <f t="shared" si="175"/>
        <v>0</v>
      </c>
      <c r="Y442" s="222">
        <f t="shared" si="167"/>
        <v>30000</v>
      </c>
      <c r="Z442" s="223">
        <f t="shared" si="162"/>
        <v>180000</v>
      </c>
    </row>
    <row r="443" spans="1:26" s="44" customFormat="1" ht="24" customHeight="1">
      <c r="A443" s="103" t="s">
        <v>36</v>
      </c>
      <c r="B443" s="104" t="s">
        <v>317</v>
      </c>
      <c r="C443" s="237"/>
      <c r="D443" s="237"/>
      <c r="E443" s="228">
        <f t="shared" si="172"/>
        <v>0.3</v>
      </c>
      <c r="F443" s="392"/>
      <c r="G443" s="376">
        <f t="shared" si="173"/>
        <v>0.3</v>
      </c>
      <c r="H443" s="377"/>
      <c r="I443" s="387"/>
      <c r="J443" s="377"/>
      <c r="K443" s="377"/>
      <c r="L443" s="386"/>
      <c r="M443" s="377"/>
      <c r="N443" s="385">
        <v>0.3</v>
      </c>
      <c r="O443" s="385"/>
      <c r="P443" s="377"/>
      <c r="Q443" s="377"/>
      <c r="R443" s="377"/>
      <c r="S443" s="377"/>
      <c r="T443" s="377">
        <f t="shared" si="174"/>
        <v>0</v>
      </c>
      <c r="U443" s="377"/>
      <c r="V443" s="376"/>
      <c r="W443" s="377"/>
      <c r="X443" s="377">
        <f t="shared" si="175"/>
        <v>0</v>
      </c>
      <c r="Y443" s="222">
        <f t="shared" si="167"/>
        <v>30000</v>
      </c>
      <c r="Z443" s="223">
        <f t="shared" si="162"/>
        <v>180000</v>
      </c>
    </row>
    <row r="444" spans="1:26" s="44" customFormat="1" ht="24" customHeight="1">
      <c r="A444" s="103" t="s">
        <v>37</v>
      </c>
      <c r="B444" s="104" t="s">
        <v>327</v>
      </c>
      <c r="C444" s="237"/>
      <c r="D444" s="237"/>
      <c r="E444" s="228">
        <f t="shared" si="172"/>
        <v>0.3</v>
      </c>
      <c r="F444" s="392"/>
      <c r="G444" s="376">
        <f t="shared" si="173"/>
        <v>0.3</v>
      </c>
      <c r="H444" s="377"/>
      <c r="I444" s="387"/>
      <c r="J444" s="377"/>
      <c r="K444" s="377"/>
      <c r="L444" s="386"/>
      <c r="M444" s="377"/>
      <c r="N444" s="385">
        <v>0.3</v>
      </c>
      <c r="O444" s="385"/>
      <c r="P444" s="377"/>
      <c r="Q444" s="377"/>
      <c r="R444" s="377"/>
      <c r="S444" s="377"/>
      <c r="T444" s="377">
        <f t="shared" si="174"/>
        <v>0</v>
      </c>
      <c r="U444" s="377"/>
      <c r="V444" s="376"/>
      <c r="W444" s="377"/>
      <c r="X444" s="377">
        <f t="shared" si="175"/>
        <v>0</v>
      </c>
      <c r="Y444" s="222">
        <f t="shared" si="167"/>
        <v>30000</v>
      </c>
      <c r="Z444" s="223">
        <f t="shared" si="162"/>
        <v>180000</v>
      </c>
    </row>
    <row r="445" spans="1:26" s="44" customFormat="1" ht="24" customHeight="1">
      <c r="A445" s="103" t="s">
        <v>146</v>
      </c>
      <c r="B445" s="104" t="s">
        <v>427</v>
      </c>
      <c r="C445" s="237"/>
      <c r="D445" s="237"/>
      <c r="E445" s="228">
        <f t="shared" si="172"/>
        <v>0.3</v>
      </c>
      <c r="F445" s="392"/>
      <c r="G445" s="376">
        <f t="shared" si="173"/>
        <v>0.3</v>
      </c>
      <c r="H445" s="377"/>
      <c r="I445" s="387"/>
      <c r="J445" s="377"/>
      <c r="K445" s="377"/>
      <c r="L445" s="386"/>
      <c r="M445" s="377"/>
      <c r="N445" s="385">
        <v>0.3</v>
      </c>
      <c r="O445" s="385"/>
      <c r="P445" s="377"/>
      <c r="Q445" s="377"/>
      <c r="R445" s="377"/>
      <c r="S445" s="377"/>
      <c r="T445" s="377">
        <f t="shared" si="174"/>
        <v>0</v>
      </c>
      <c r="U445" s="377"/>
      <c r="V445" s="376"/>
      <c r="W445" s="377"/>
      <c r="X445" s="377">
        <f t="shared" si="175"/>
        <v>0</v>
      </c>
      <c r="Y445" s="222">
        <f t="shared" si="167"/>
        <v>30000</v>
      </c>
      <c r="Z445" s="223">
        <f t="shared" si="162"/>
        <v>180000</v>
      </c>
    </row>
    <row r="446" spans="1:26" s="44" customFormat="1" ht="24" customHeight="1">
      <c r="A446" s="103" t="s">
        <v>148</v>
      </c>
      <c r="B446" s="104" t="s">
        <v>428</v>
      </c>
      <c r="C446" s="237"/>
      <c r="D446" s="237"/>
      <c r="E446" s="228">
        <f t="shared" si="172"/>
        <v>0.3</v>
      </c>
      <c r="F446" s="392"/>
      <c r="G446" s="376">
        <f t="shared" si="173"/>
        <v>0.3</v>
      </c>
      <c r="H446" s="377"/>
      <c r="I446" s="387"/>
      <c r="J446" s="377"/>
      <c r="K446" s="377"/>
      <c r="L446" s="386"/>
      <c r="M446" s="377"/>
      <c r="N446" s="385">
        <v>0.3</v>
      </c>
      <c r="O446" s="385"/>
      <c r="P446" s="377"/>
      <c r="Q446" s="377"/>
      <c r="R446" s="377"/>
      <c r="S446" s="377"/>
      <c r="T446" s="377">
        <f t="shared" si="174"/>
        <v>0</v>
      </c>
      <c r="U446" s="377"/>
      <c r="V446" s="376"/>
      <c r="W446" s="377"/>
      <c r="X446" s="377">
        <f t="shared" si="175"/>
        <v>0</v>
      </c>
      <c r="Y446" s="222">
        <f t="shared" si="167"/>
        <v>30000</v>
      </c>
      <c r="Z446" s="223">
        <f t="shared" si="162"/>
        <v>180000</v>
      </c>
    </row>
    <row r="447" spans="1:26" s="44" customFormat="1" ht="24" customHeight="1">
      <c r="A447" s="81" t="s">
        <v>65</v>
      </c>
      <c r="B447" s="240" t="s">
        <v>331</v>
      </c>
      <c r="C447" s="237"/>
      <c r="D447" s="237"/>
      <c r="E447" s="231">
        <f>SUM(E448:E474)</f>
        <v>8.0999999999999979</v>
      </c>
      <c r="F447" s="381">
        <f t="shared" ref="F447:Z447" si="176">SUM(F448:F474)</f>
        <v>0</v>
      </c>
      <c r="G447" s="381">
        <f t="shared" si="176"/>
        <v>8.0999999999999979</v>
      </c>
      <c r="H447" s="381">
        <f t="shared" si="176"/>
        <v>0</v>
      </c>
      <c r="I447" s="381">
        <f t="shared" si="176"/>
        <v>0</v>
      </c>
      <c r="J447" s="381">
        <f t="shared" si="176"/>
        <v>0</v>
      </c>
      <c r="K447" s="381">
        <f t="shared" si="176"/>
        <v>0</v>
      </c>
      <c r="L447" s="381">
        <f t="shared" si="176"/>
        <v>0</v>
      </c>
      <c r="M447" s="381">
        <f t="shared" si="176"/>
        <v>0</v>
      </c>
      <c r="N447" s="381">
        <f t="shared" si="176"/>
        <v>0</v>
      </c>
      <c r="O447" s="381">
        <f t="shared" si="176"/>
        <v>8.0999999999999979</v>
      </c>
      <c r="P447" s="381">
        <f t="shared" si="176"/>
        <v>0</v>
      </c>
      <c r="Q447" s="381">
        <f t="shared" si="176"/>
        <v>0</v>
      </c>
      <c r="R447" s="381">
        <f t="shared" si="176"/>
        <v>0</v>
      </c>
      <c r="S447" s="381">
        <f t="shared" si="176"/>
        <v>0</v>
      </c>
      <c r="T447" s="381">
        <f t="shared" si="176"/>
        <v>0</v>
      </c>
      <c r="U447" s="381">
        <f t="shared" si="176"/>
        <v>0</v>
      </c>
      <c r="V447" s="381">
        <f t="shared" si="176"/>
        <v>0</v>
      </c>
      <c r="W447" s="381">
        <f t="shared" si="176"/>
        <v>0</v>
      </c>
      <c r="X447" s="381">
        <f t="shared" si="176"/>
        <v>0</v>
      </c>
      <c r="Y447" s="236">
        <f t="shared" si="176"/>
        <v>810000</v>
      </c>
      <c r="Z447" s="236">
        <f t="shared" si="176"/>
        <v>4860000</v>
      </c>
    </row>
    <row r="448" spans="1:26" s="44" customFormat="1" ht="24" customHeight="1">
      <c r="A448" s="106" t="s">
        <v>20</v>
      </c>
      <c r="B448" s="72" t="s">
        <v>429</v>
      </c>
      <c r="C448" s="237"/>
      <c r="D448" s="237"/>
      <c r="E448" s="228">
        <f t="shared" ref="E448:E474" si="177">+F448+G448+X448</f>
        <v>0.3</v>
      </c>
      <c r="F448" s="392"/>
      <c r="G448" s="376">
        <f t="shared" si="161"/>
        <v>0.3</v>
      </c>
      <c r="H448" s="377"/>
      <c r="I448" s="387"/>
      <c r="J448" s="377"/>
      <c r="K448" s="377"/>
      <c r="L448" s="386"/>
      <c r="M448" s="377"/>
      <c r="N448" s="377"/>
      <c r="O448" s="385">
        <v>0.3</v>
      </c>
      <c r="P448" s="377"/>
      <c r="Q448" s="377"/>
      <c r="R448" s="377"/>
      <c r="S448" s="377"/>
      <c r="T448" s="377">
        <f t="shared" ref="T448:T519" si="178">(F448+I448+J448)*25/100</f>
        <v>0</v>
      </c>
      <c r="U448" s="377"/>
      <c r="V448" s="376"/>
      <c r="W448" s="377"/>
      <c r="X448" s="377">
        <f t="shared" ref="X448:X474" si="179">(F448+I448+J448+K448)*22.5/100</f>
        <v>0</v>
      </c>
      <c r="Y448" s="222">
        <f t="shared" si="167"/>
        <v>30000</v>
      </c>
      <c r="Z448" s="223">
        <f t="shared" si="162"/>
        <v>180000</v>
      </c>
    </row>
    <row r="449" spans="1:26" s="44" customFormat="1" ht="24" customHeight="1">
      <c r="A449" s="106" t="s">
        <v>140</v>
      </c>
      <c r="B449" s="72" t="s">
        <v>430</v>
      </c>
      <c r="C449" s="237"/>
      <c r="D449" s="237"/>
      <c r="E449" s="228">
        <f t="shared" si="177"/>
        <v>0.3</v>
      </c>
      <c r="F449" s="392"/>
      <c r="G449" s="376">
        <f t="shared" si="161"/>
        <v>0.3</v>
      </c>
      <c r="H449" s="377"/>
      <c r="I449" s="387"/>
      <c r="J449" s="377"/>
      <c r="K449" s="377"/>
      <c r="L449" s="386"/>
      <c r="M449" s="377"/>
      <c r="N449" s="377"/>
      <c r="O449" s="385">
        <v>0.3</v>
      </c>
      <c r="P449" s="377"/>
      <c r="Q449" s="377"/>
      <c r="R449" s="377"/>
      <c r="S449" s="377"/>
      <c r="T449" s="377">
        <f t="shared" si="178"/>
        <v>0</v>
      </c>
      <c r="U449" s="377"/>
      <c r="V449" s="376"/>
      <c r="W449" s="377"/>
      <c r="X449" s="377">
        <f t="shared" si="179"/>
        <v>0</v>
      </c>
      <c r="Y449" s="222">
        <f t="shared" si="167"/>
        <v>30000</v>
      </c>
      <c r="Z449" s="223">
        <f t="shared" si="162"/>
        <v>180000</v>
      </c>
    </row>
    <row r="450" spans="1:26" s="44" customFormat="1" ht="24" customHeight="1">
      <c r="A450" s="106" t="s">
        <v>21</v>
      </c>
      <c r="B450" s="72" t="s">
        <v>252</v>
      </c>
      <c r="C450" s="237"/>
      <c r="D450" s="237"/>
      <c r="E450" s="228">
        <f t="shared" si="177"/>
        <v>0.3</v>
      </c>
      <c r="F450" s="392"/>
      <c r="G450" s="376">
        <f t="shared" si="161"/>
        <v>0.3</v>
      </c>
      <c r="H450" s="377"/>
      <c r="I450" s="387"/>
      <c r="J450" s="377"/>
      <c r="K450" s="377"/>
      <c r="L450" s="386"/>
      <c r="M450" s="377"/>
      <c r="N450" s="377"/>
      <c r="O450" s="385">
        <v>0.3</v>
      </c>
      <c r="P450" s="377"/>
      <c r="Q450" s="377"/>
      <c r="R450" s="377"/>
      <c r="S450" s="377"/>
      <c r="T450" s="377">
        <f t="shared" si="178"/>
        <v>0</v>
      </c>
      <c r="U450" s="377"/>
      <c r="V450" s="376"/>
      <c r="W450" s="377"/>
      <c r="X450" s="377">
        <f t="shared" si="179"/>
        <v>0</v>
      </c>
      <c r="Y450" s="222">
        <f t="shared" si="167"/>
        <v>30000</v>
      </c>
      <c r="Z450" s="223">
        <f t="shared" si="162"/>
        <v>180000</v>
      </c>
    </row>
    <row r="451" spans="1:26" s="44" customFormat="1" ht="24" customHeight="1">
      <c r="A451" s="106" t="s">
        <v>22</v>
      </c>
      <c r="B451" s="72" t="s">
        <v>431</v>
      </c>
      <c r="C451" s="237"/>
      <c r="D451" s="237"/>
      <c r="E451" s="228">
        <f t="shared" si="177"/>
        <v>0.3</v>
      </c>
      <c r="F451" s="392"/>
      <c r="G451" s="376">
        <f t="shared" si="161"/>
        <v>0.3</v>
      </c>
      <c r="H451" s="377"/>
      <c r="I451" s="387"/>
      <c r="J451" s="377"/>
      <c r="K451" s="377"/>
      <c r="L451" s="386"/>
      <c r="M451" s="377"/>
      <c r="N451" s="377"/>
      <c r="O451" s="385">
        <v>0.3</v>
      </c>
      <c r="P451" s="377"/>
      <c r="Q451" s="377"/>
      <c r="R451" s="377"/>
      <c r="S451" s="377"/>
      <c r="T451" s="377">
        <f t="shared" si="178"/>
        <v>0</v>
      </c>
      <c r="U451" s="377"/>
      <c r="V451" s="376"/>
      <c r="W451" s="377"/>
      <c r="X451" s="377">
        <f t="shared" si="179"/>
        <v>0</v>
      </c>
      <c r="Y451" s="222">
        <f t="shared" si="167"/>
        <v>30000</v>
      </c>
      <c r="Z451" s="223">
        <f t="shared" si="162"/>
        <v>180000</v>
      </c>
    </row>
    <row r="452" spans="1:26" s="44" customFormat="1" ht="24" customHeight="1">
      <c r="A452" s="106" t="s">
        <v>12</v>
      </c>
      <c r="B452" s="72" t="s">
        <v>432</v>
      </c>
      <c r="C452" s="237"/>
      <c r="D452" s="237"/>
      <c r="E452" s="228">
        <f t="shared" si="177"/>
        <v>0.3</v>
      </c>
      <c r="F452" s="392"/>
      <c r="G452" s="376">
        <f t="shared" si="161"/>
        <v>0.3</v>
      </c>
      <c r="H452" s="377"/>
      <c r="I452" s="387"/>
      <c r="J452" s="377"/>
      <c r="K452" s="377"/>
      <c r="L452" s="386"/>
      <c r="M452" s="377"/>
      <c r="N452" s="377"/>
      <c r="O452" s="385">
        <v>0.3</v>
      </c>
      <c r="P452" s="377"/>
      <c r="Q452" s="377"/>
      <c r="R452" s="377"/>
      <c r="S452" s="377"/>
      <c r="T452" s="377">
        <f t="shared" si="178"/>
        <v>0</v>
      </c>
      <c r="U452" s="377"/>
      <c r="V452" s="376"/>
      <c r="W452" s="377"/>
      <c r="X452" s="377">
        <f t="shared" si="179"/>
        <v>0</v>
      </c>
      <c r="Y452" s="222">
        <f t="shared" si="167"/>
        <v>30000</v>
      </c>
      <c r="Z452" s="223">
        <f t="shared" si="162"/>
        <v>180000</v>
      </c>
    </row>
    <row r="453" spans="1:26" s="44" customFormat="1" ht="24" customHeight="1">
      <c r="A453" s="106" t="s">
        <v>36</v>
      </c>
      <c r="B453" s="72" t="s">
        <v>433</v>
      </c>
      <c r="C453" s="237"/>
      <c r="D453" s="237"/>
      <c r="E453" s="228">
        <f t="shared" si="177"/>
        <v>0.3</v>
      </c>
      <c r="F453" s="392"/>
      <c r="G453" s="376">
        <f t="shared" si="161"/>
        <v>0.3</v>
      </c>
      <c r="H453" s="377"/>
      <c r="I453" s="387"/>
      <c r="J453" s="377"/>
      <c r="K453" s="377"/>
      <c r="L453" s="386"/>
      <c r="M453" s="377"/>
      <c r="N453" s="377"/>
      <c r="O453" s="385">
        <v>0.3</v>
      </c>
      <c r="P453" s="377"/>
      <c r="Q453" s="377"/>
      <c r="R453" s="377"/>
      <c r="S453" s="377"/>
      <c r="T453" s="377">
        <f t="shared" si="178"/>
        <v>0</v>
      </c>
      <c r="U453" s="377"/>
      <c r="V453" s="376"/>
      <c r="W453" s="377"/>
      <c r="X453" s="377">
        <f t="shared" si="179"/>
        <v>0</v>
      </c>
      <c r="Y453" s="222">
        <f t="shared" si="167"/>
        <v>30000</v>
      </c>
      <c r="Z453" s="223">
        <f t="shared" si="162"/>
        <v>180000</v>
      </c>
    </row>
    <row r="454" spans="1:26" s="44" customFormat="1" ht="24" customHeight="1">
      <c r="A454" s="106" t="s">
        <v>37</v>
      </c>
      <c r="B454" s="72" t="s">
        <v>326</v>
      </c>
      <c r="C454" s="237"/>
      <c r="D454" s="237"/>
      <c r="E454" s="228">
        <f t="shared" si="177"/>
        <v>0.3</v>
      </c>
      <c r="F454" s="392"/>
      <c r="G454" s="376">
        <f t="shared" si="161"/>
        <v>0.3</v>
      </c>
      <c r="H454" s="377"/>
      <c r="I454" s="387"/>
      <c r="J454" s="377"/>
      <c r="K454" s="377"/>
      <c r="L454" s="386"/>
      <c r="M454" s="377"/>
      <c r="N454" s="377"/>
      <c r="O454" s="385">
        <v>0.3</v>
      </c>
      <c r="P454" s="377"/>
      <c r="Q454" s="377"/>
      <c r="R454" s="377"/>
      <c r="S454" s="377"/>
      <c r="T454" s="377">
        <f t="shared" si="178"/>
        <v>0</v>
      </c>
      <c r="U454" s="377"/>
      <c r="V454" s="376"/>
      <c r="W454" s="377"/>
      <c r="X454" s="377">
        <f t="shared" si="179"/>
        <v>0</v>
      </c>
      <c r="Y454" s="222">
        <f t="shared" si="167"/>
        <v>30000</v>
      </c>
      <c r="Z454" s="223">
        <f t="shared" si="162"/>
        <v>180000</v>
      </c>
    </row>
    <row r="455" spans="1:26" s="44" customFormat="1" ht="24" customHeight="1">
      <c r="A455" s="106" t="s">
        <v>146</v>
      </c>
      <c r="B455" s="72" t="s">
        <v>434</v>
      </c>
      <c r="C455" s="237"/>
      <c r="D455" s="237"/>
      <c r="E455" s="228">
        <f t="shared" si="177"/>
        <v>0.3</v>
      </c>
      <c r="F455" s="392"/>
      <c r="G455" s="376">
        <f t="shared" si="161"/>
        <v>0.3</v>
      </c>
      <c r="H455" s="377"/>
      <c r="I455" s="387"/>
      <c r="J455" s="377"/>
      <c r="K455" s="377"/>
      <c r="L455" s="386"/>
      <c r="M455" s="377"/>
      <c r="N455" s="377"/>
      <c r="O455" s="385">
        <v>0.3</v>
      </c>
      <c r="P455" s="377"/>
      <c r="Q455" s="377"/>
      <c r="R455" s="377"/>
      <c r="S455" s="377"/>
      <c r="T455" s="377">
        <f t="shared" si="178"/>
        <v>0</v>
      </c>
      <c r="U455" s="377"/>
      <c r="V455" s="376"/>
      <c r="W455" s="377"/>
      <c r="X455" s="377">
        <f t="shared" si="179"/>
        <v>0</v>
      </c>
      <c r="Y455" s="222">
        <f t="shared" si="167"/>
        <v>30000</v>
      </c>
      <c r="Z455" s="223">
        <f t="shared" si="162"/>
        <v>180000</v>
      </c>
    </row>
    <row r="456" spans="1:26" s="44" customFormat="1" ht="24" customHeight="1">
      <c r="A456" s="106" t="s">
        <v>148</v>
      </c>
      <c r="B456" s="72" t="s">
        <v>435</v>
      </c>
      <c r="C456" s="237"/>
      <c r="D456" s="237"/>
      <c r="E456" s="228">
        <f t="shared" si="177"/>
        <v>0.3</v>
      </c>
      <c r="F456" s="392"/>
      <c r="G456" s="376">
        <f t="shared" si="161"/>
        <v>0.3</v>
      </c>
      <c r="H456" s="377"/>
      <c r="I456" s="387"/>
      <c r="J456" s="377"/>
      <c r="K456" s="377"/>
      <c r="L456" s="386"/>
      <c r="M456" s="377"/>
      <c r="N456" s="377"/>
      <c r="O456" s="385">
        <v>0.3</v>
      </c>
      <c r="P456" s="377"/>
      <c r="Q456" s="377"/>
      <c r="R456" s="377"/>
      <c r="S456" s="377"/>
      <c r="T456" s="377">
        <f t="shared" si="178"/>
        <v>0</v>
      </c>
      <c r="U456" s="377"/>
      <c r="V456" s="376"/>
      <c r="W456" s="377"/>
      <c r="X456" s="377">
        <f t="shared" si="179"/>
        <v>0</v>
      </c>
      <c r="Y456" s="222">
        <f t="shared" si="167"/>
        <v>30000</v>
      </c>
      <c r="Z456" s="223">
        <f t="shared" si="162"/>
        <v>180000</v>
      </c>
    </row>
    <row r="457" spans="1:26" s="44" customFormat="1" ht="24" customHeight="1">
      <c r="A457" s="106" t="s">
        <v>150</v>
      </c>
      <c r="B457" s="72" t="s">
        <v>436</v>
      </c>
      <c r="C457" s="237"/>
      <c r="D457" s="237"/>
      <c r="E457" s="228">
        <f t="shared" si="177"/>
        <v>0.3</v>
      </c>
      <c r="F457" s="392"/>
      <c r="G457" s="376">
        <f t="shared" si="161"/>
        <v>0.3</v>
      </c>
      <c r="H457" s="377"/>
      <c r="I457" s="387"/>
      <c r="J457" s="377"/>
      <c r="K457" s="377"/>
      <c r="L457" s="386"/>
      <c r="M457" s="377"/>
      <c r="N457" s="377"/>
      <c r="O457" s="385">
        <v>0.3</v>
      </c>
      <c r="P457" s="377"/>
      <c r="Q457" s="377"/>
      <c r="R457" s="377"/>
      <c r="S457" s="377"/>
      <c r="T457" s="377">
        <f t="shared" si="178"/>
        <v>0</v>
      </c>
      <c r="U457" s="377"/>
      <c r="V457" s="376"/>
      <c r="W457" s="377"/>
      <c r="X457" s="377">
        <f t="shared" si="179"/>
        <v>0</v>
      </c>
      <c r="Y457" s="222">
        <f t="shared" si="167"/>
        <v>30000</v>
      </c>
      <c r="Z457" s="223">
        <f t="shared" si="162"/>
        <v>180000</v>
      </c>
    </row>
    <row r="458" spans="1:26" s="44" customFormat="1" ht="24" customHeight="1">
      <c r="A458" s="106" t="s">
        <v>162</v>
      </c>
      <c r="B458" s="72" t="s">
        <v>437</v>
      </c>
      <c r="C458" s="237"/>
      <c r="D458" s="237"/>
      <c r="E458" s="228">
        <f t="shared" si="177"/>
        <v>0.3</v>
      </c>
      <c r="F458" s="392"/>
      <c r="G458" s="376">
        <f t="shared" si="161"/>
        <v>0.3</v>
      </c>
      <c r="H458" s="377"/>
      <c r="I458" s="387"/>
      <c r="J458" s="377"/>
      <c r="K458" s="377"/>
      <c r="L458" s="386"/>
      <c r="M458" s="377"/>
      <c r="N458" s="377"/>
      <c r="O458" s="385">
        <v>0.3</v>
      </c>
      <c r="P458" s="377"/>
      <c r="Q458" s="377"/>
      <c r="R458" s="377"/>
      <c r="S458" s="377"/>
      <c r="T458" s="377">
        <f t="shared" si="178"/>
        <v>0</v>
      </c>
      <c r="U458" s="377"/>
      <c r="V458" s="376"/>
      <c r="W458" s="377"/>
      <c r="X458" s="377">
        <f t="shared" si="179"/>
        <v>0</v>
      </c>
      <c r="Y458" s="222">
        <f t="shared" si="167"/>
        <v>30000</v>
      </c>
      <c r="Z458" s="223">
        <f t="shared" si="162"/>
        <v>180000</v>
      </c>
    </row>
    <row r="459" spans="1:26" s="44" customFormat="1" ht="24" customHeight="1">
      <c r="A459" s="106" t="s">
        <v>164</v>
      </c>
      <c r="B459" s="72" t="s">
        <v>438</v>
      </c>
      <c r="C459" s="237"/>
      <c r="D459" s="237"/>
      <c r="E459" s="228">
        <f t="shared" si="177"/>
        <v>0.3</v>
      </c>
      <c r="F459" s="392"/>
      <c r="G459" s="376">
        <f t="shared" si="161"/>
        <v>0.3</v>
      </c>
      <c r="H459" s="377"/>
      <c r="I459" s="387"/>
      <c r="J459" s="377"/>
      <c r="K459" s="377"/>
      <c r="L459" s="386"/>
      <c r="M459" s="377"/>
      <c r="N459" s="377"/>
      <c r="O459" s="385">
        <v>0.3</v>
      </c>
      <c r="P459" s="377"/>
      <c r="Q459" s="377"/>
      <c r="R459" s="377"/>
      <c r="S459" s="377"/>
      <c r="T459" s="377">
        <f t="shared" si="178"/>
        <v>0</v>
      </c>
      <c r="U459" s="377"/>
      <c r="V459" s="376"/>
      <c r="W459" s="377"/>
      <c r="X459" s="377">
        <f t="shared" si="179"/>
        <v>0</v>
      </c>
      <c r="Y459" s="222">
        <f t="shared" si="167"/>
        <v>30000</v>
      </c>
      <c r="Z459" s="223">
        <f t="shared" si="162"/>
        <v>180000</v>
      </c>
    </row>
    <row r="460" spans="1:26" s="44" customFormat="1" ht="24" customHeight="1">
      <c r="A460" s="106" t="s">
        <v>439</v>
      </c>
      <c r="B460" s="72" t="s">
        <v>440</v>
      </c>
      <c r="C460" s="237"/>
      <c r="D460" s="237"/>
      <c r="E460" s="228">
        <f t="shared" si="177"/>
        <v>0.3</v>
      </c>
      <c r="F460" s="392"/>
      <c r="G460" s="376">
        <f t="shared" si="161"/>
        <v>0.3</v>
      </c>
      <c r="H460" s="377"/>
      <c r="I460" s="387"/>
      <c r="J460" s="377"/>
      <c r="K460" s="377"/>
      <c r="L460" s="386"/>
      <c r="M460" s="377"/>
      <c r="N460" s="377"/>
      <c r="O460" s="385">
        <v>0.3</v>
      </c>
      <c r="P460" s="377"/>
      <c r="Q460" s="377"/>
      <c r="R460" s="377"/>
      <c r="S460" s="377"/>
      <c r="T460" s="377">
        <f t="shared" si="178"/>
        <v>0</v>
      </c>
      <c r="U460" s="377"/>
      <c r="V460" s="376"/>
      <c r="W460" s="377"/>
      <c r="X460" s="377">
        <f t="shared" si="179"/>
        <v>0</v>
      </c>
      <c r="Y460" s="222">
        <f t="shared" si="167"/>
        <v>30000</v>
      </c>
      <c r="Z460" s="223">
        <f t="shared" si="162"/>
        <v>180000</v>
      </c>
    </row>
    <row r="461" spans="1:26" s="44" customFormat="1" ht="24" customHeight="1">
      <c r="A461" s="106" t="s">
        <v>441</v>
      </c>
      <c r="B461" s="72" t="s">
        <v>442</v>
      </c>
      <c r="C461" s="237"/>
      <c r="D461" s="237"/>
      <c r="E461" s="228">
        <f t="shared" si="177"/>
        <v>0.3</v>
      </c>
      <c r="F461" s="392"/>
      <c r="G461" s="376">
        <f t="shared" si="161"/>
        <v>0.3</v>
      </c>
      <c r="H461" s="377"/>
      <c r="I461" s="387"/>
      <c r="J461" s="377"/>
      <c r="K461" s="377"/>
      <c r="L461" s="386"/>
      <c r="M461" s="377"/>
      <c r="N461" s="377"/>
      <c r="O461" s="385">
        <v>0.3</v>
      </c>
      <c r="P461" s="377"/>
      <c r="Q461" s="377"/>
      <c r="R461" s="377"/>
      <c r="S461" s="377"/>
      <c r="T461" s="377">
        <f t="shared" si="178"/>
        <v>0</v>
      </c>
      <c r="U461" s="377"/>
      <c r="V461" s="376"/>
      <c r="W461" s="377"/>
      <c r="X461" s="377">
        <f t="shared" si="179"/>
        <v>0</v>
      </c>
      <c r="Y461" s="222">
        <f t="shared" si="167"/>
        <v>30000</v>
      </c>
      <c r="Z461" s="223">
        <f t="shared" si="162"/>
        <v>180000</v>
      </c>
    </row>
    <row r="462" spans="1:26" s="44" customFormat="1" ht="24" customHeight="1">
      <c r="A462" s="106" t="s">
        <v>443</v>
      </c>
      <c r="B462" s="72" t="s">
        <v>444</v>
      </c>
      <c r="C462" s="237"/>
      <c r="D462" s="237"/>
      <c r="E462" s="228">
        <f t="shared" si="177"/>
        <v>0.3</v>
      </c>
      <c r="F462" s="392"/>
      <c r="G462" s="376">
        <f t="shared" si="161"/>
        <v>0.3</v>
      </c>
      <c r="H462" s="377"/>
      <c r="I462" s="387"/>
      <c r="J462" s="377"/>
      <c r="K462" s="377"/>
      <c r="L462" s="386"/>
      <c r="M462" s="377"/>
      <c r="N462" s="377"/>
      <c r="O462" s="385">
        <v>0.3</v>
      </c>
      <c r="P462" s="377"/>
      <c r="Q462" s="377"/>
      <c r="R462" s="377"/>
      <c r="S462" s="377"/>
      <c r="T462" s="377">
        <f t="shared" si="178"/>
        <v>0</v>
      </c>
      <c r="U462" s="377"/>
      <c r="V462" s="376"/>
      <c r="W462" s="377"/>
      <c r="X462" s="377">
        <f t="shared" si="179"/>
        <v>0</v>
      </c>
      <c r="Y462" s="222">
        <f t="shared" si="167"/>
        <v>30000</v>
      </c>
      <c r="Z462" s="223">
        <f t="shared" si="162"/>
        <v>180000</v>
      </c>
    </row>
    <row r="463" spans="1:26" s="44" customFormat="1" ht="24" customHeight="1">
      <c r="A463" s="106" t="s">
        <v>445</v>
      </c>
      <c r="B463" s="72" t="s">
        <v>446</v>
      </c>
      <c r="C463" s="237"/>
      <c r="D463" s="237"/>
      <c r="E463" s="228">
        <f t="shared" si="177"/>
        <v>0.3</v>
      </c>
      <c r="F463" s="392"/>
      <c r="G463" s="376">
        <f t="shared" si="161"/>
        <v>0.3</v>
      </c>
      <c r="H463" s="377"/>
      <c r="I463" s="387"/>
      <c r="J463" s="377"/>
      <c r="K463" s="377"/>
      <c r="L463" s="386"/>
      <c r="M463" s="377"/>
      <c r="N463" s="377"/>
      <c r="O463" s="385">
        <v>0.3</v>
      </c>
      <c r="P463" s="377"/>
      <c r="Q463" s="377"/>
      <c r="R463" s="377"/>
      <c r="S463" s="377"/>
      <c r="T463" s="377">
        <f t="shared" si="178"/>
        <v>0</v>
      </c>
      <c r="U463" s="377"/>
      <c r="V463" s="376"/>
      <c r="W463" s="377"/>
      <c r="X463" s="377">
        <f t="shared" si="179"/>
        <v>0</v>
      </c>
      <c r="Y463" s="222">
        <f t="shared" si="167"/>
        <v>30000</v>
      </c>
      <c r="Z463" s="223">
        <f t="shared" si="162"/>
        <v>180000</v>
      </c>
    </row>
    <row r="464" spans="1:26" s="44" customFormat="1" ht="24" customHeight="1">
      <c r="A464" s="106" t="s">
        <v>447</v>
      </c>
      <c r="B464" s="72" t="s">
        <v>448</v>
      </c>
      <c r="C464" s="237"/>
      <c r="D464" s="237"/>
      <c r="E464" s="228">
        <f t="shared" si="177"/>
        <v>0.3</v>
      </c>
      <c r="F464" s="392"/>
      <c r="G464" s="376">
        <f t="shared" si="161"/>
        <v>0.3</v>
      </c>
      <c r="H464" s="377"/>
      <c r="I464" s="387"/>
      <c r="J464" s="377"/>
      <c r="K464" s="377"/>
      <c r="L464" s="386"/>
      <c r="M464" s="377"/>
      <c r="N464" s="377"/>
      <c r="O464" s="385">
        <v>0.3</v>
      </c>
      <c r="P464" s="377"/>
      <c r="Q464" s="377"/>
      <c r="R464" s="377"/>
      <c r="S464" s="377"/>
      <c r="T464" s="377">
        <f t="shared" si="178"/>
        <v>0</v>
      </c>
      <c r="U464" s="377"/>
      <c r="V464" s="376"/>
      <c r="W464" s="377"/>
      <c r="X464" s="377">
        <f t="shared" si="179"/>
        <v>0</v>
      </c>
      <c r="Y464" s="222">
        <f t="shared" si="167"/>
        <v>30000</v>
      </c>
      <c r="Z464" s="223">
        <f t="shared" si="162"/>
        <v>180000</v>
      </c>
    </row>
    <row r="465" spans="1:26" s="44" customFormat="1" ht="24" customHeight="1">
      <c r="A465" s="106" t="s">
        <v>449</v>
      </c>
      <c r="B465" s="72" t="s">
        <v>450</v>
      </c>
      <c r="C465" s="237"/>
      <c r="D465" s="237"/>
      <c r="E465" s="228">
        <f t="shared" si="177"/>
        <v>0.3</v>
      </c>
      <c r="F465" s="392"/>
      <c r="G465" s="376">
        <f t="shared" si="161"/>
        <v>0.3</v>
      </c>
      <c r="H465" s="377"/>
      <c r="I465" s="387"/>
      <c r="J465" s="377"/>
      <c r="K465" s="377"/>
      <c r="L465" s="386"/>
      <c r="M465" s="377"/>
      <c r="N465" s="377"/>
      <c r="O465" s="385">
        <v>0.3</v>
      </c>
      <c r="P465" s="377"/>
      <c r="Q465" s="377"/>
      <c r="R465" s="377"/>
      <c r="S465" s="377"/>
      <c r="T465" s="377">
        <f t="shared" si="178"/>
        <v>0</v>
      </c>
      <c r="U465" s="377"/>
      <c r="V465" s="376"/>
      <c r="W465" s="377"/>
      <c r="X465" s="377">
        <f t="shared" si="179"/>
        <v>0</v>
      </c>
      <c r="Y465" s="222">
        <f t="shared" si="167"/>
        <v>30000</v>
      </c>
      <c r="Z465" s="223">
        <f t="shared" si="162"/>
        <v>180000</v>
      </c>
    </row>
    <row r="466" spans="1:26" s="44" customFormat="1" ht="24" customHeight="1">
      <c r="A466" s="106" t="s">
        <v>451</v>
      </c>
      <c r="B466" s="72" t="s">
        <v>452</v>
      </c>
      <c r="C466" s="237"/>
      <c r="D466" s="237"/>
      <c r="E466" s="228">
        <f t="shared" si="177"/>
        <v>0.3</v>
      </c>
      <c r="F466" s="392"/>
      <c r="G466" s="376">
        <f t="shared" si="161"/>
        <v>0.3</v>
      </c>
      <c r="H466" s="377"/>
      <c r="I466" s="387"/>
      <c r="J466" s="377"/>
      <c r="K466" s="377"/>
      <c r="L466" s="386"/>
      <c r="M466" s="377"/>
      <c r="N466" s="377"/>
      <c r="O466" s="385">
        <v>0.3</v>
      </c>
      <c r="P466" s="377"/>
      <c r="Q466" s="377"/>
      <c r="R466" s="377"/>
      <c r="S466" s="377"/>
      <c r="T466" s="377">
        <f t="shared" si="178"/>
        <v>0</v>
      </c>
      <c r="U466" s="377"/>
      <c r="V466" s="376"/>
      <c r="W466" s="377"/>
      <c r="X466" s="377">
        <f t="shared" si="179"/>
        <v>0</v>
      </c>
      <c r="Y466" s="222">
        <f t="shared" si="167"/>
        <v>30000</v>
      </c>
      <c r="Z466" s="223">
        <f t="shared" si="162"/>
        <v>180000</v>
      </c>
    </row>
    <row r="467" spans="1:26" s="44" customFormat="1" ht="24" customHeight="1">
      <c r="A467" s="106" t="s">
        <v>453</v>
      </c>
      <c r="B467" s="72" t="s">
        <v>252</v>
      </c>
      <c r="C467" s="237"/>
      <c r="D467" s="237"/>
      <c r="E467" s="228">
        <f t="shared" si="177"/>
        <v>0.3</v>
      </c>
      <c r="F467" s="392"/>
      <c r="G467" s="376">
        <f t="shared" si="161"/>
        <v>0.3</v>
      </c>
      <c r="H467" s="377"/>
      <c r="I467" s="387"/>
      <c r="J467" s="377"/>
      <c r="K467" s="377"/>
      <c r="L467" s="386"/>
      <c r="M467" s="377"/>
      <c r="N467" s="377"/>
      <c r="O467" s="385">
        <v>0.3</v>
      </c>
      <c r="P467" s="377"/>
      <c r="Q467" s="377"/>
      <c r="R467" s="377"/>
      <c r="S467" s="377"/>
      <c r="T467" s="377">
        <f t="shared" si="178"/>
        <v>0</v>
      </c>
      <c r="U467" s="377"/>
      <c r="V467" s="376"/>
      <c r="W467" s="377"/>
      <c r="X467" s="377">
        <f t="shared" si="179"/>
        <v>0</v>
      </c>
      <c r="Y467" s="222">
        <f t="shared" si="167"/>
        <v>30000</v>
      </c>
      <c r="Z467" s="223">
        <f t="shared" si="162"/>
        <v>180000</v>
      </c>
    </row>
    <row r="468" spans="1:26" s="44" customFormat="1" ht="24" customHeight="1">
      <c r="A468" s="106" t="s">
        <v>454</v>
      </c>
      <c r="B468" s="72" t="s">
        <v>455</v>
      </c>
      <c r="C468" s="237"/>
      <c r="D468" s="237"/>
      <c r="E468" s="228">
        <f t="shared" si="177"/>
        <v>0.3</v>
      </c>
      <c r="F468" s="392"/>
      <c r="G468" s="376">
        <f t="shared" si="161"/>
        <v>0.3</v>
      </c>
      <c r="H468" s="377"/>
      <c r="I468" s="387"/>
      <c r="J468" s="377"/>
      <c r="K468" s="377"/>
      <c r="L468" s="386"/>
      <c r="M468" s="377"/>
      <c r="N468" s="377"/>
      <c r="O468" s="385">
        <v>0.3</v>
      </c>
      <c r="P468" s="377"/>
      <c r="Q468" s="377"/>
      <c r="R468" s="377"/>
      <c r="S468" s="377"/>
      <c r="T468" s="377">
        <f t="shared" si="178"/>
        <v>0</v>
      </c>
      <c r="U468" s="377"/>
      <c r="V468" s="376"/>
      <c r="W468" s="377"/>
      <c r="X468" s="377">
        <f t="shared" si="179"/>
        <v>0</v>
      </c>
      <c r="Y468" s="222">
        <f t="shared" si="167"/>
        <v>30000</v>
      </c>
      <c r="Z468" s="223">
        <f t="shared" si="162"/>
        <v>180000</v>
      </c>
    </row>
    <row r="469" spans="1:26" s="44" customFormat="1" ht="24" customHeight="1">
      <c r="A469" s="106" t="s">
        <v>456</v>
      </c>
      <c r="B469" s="72" t="s">
        <v>457</v>
      </c>
      <c r="C469" s="237"/>
      <c r="D469" s="237"/>
      <c r="E469" s="228">
        <f t="shared" si="177"/>
        <v>0.3</v>
      </c>
      <c r="F469" s="392"/>
      <c r="G469" s="376">
        <f t="shared" si="161"/>
        <v>0.3</v>
      </c>
      <c r="H469" s="377"/>
      <c r="I469" s="387"/>
      <c r="J469" s="377"/>
      <c r="K469" s="377"/>
      <c r="L469" s="386"/>
      <c r="M469" s="377"/>
      <c r="N469" s="377"/>
      <c r="O469" s="385">
        <v>0.3</v>
      </c>
      <c r="P469" s="377"/>
      <c r="Q469" s="377"/>
      <c r="R469" s="377"/>
      <c r="S469" s="377"/>
      <c r="T469" s="377">
        <f t="shared" si="178"/>
        <v>0</v>
      </c>
      <c r="U469" s="377"/>
      <c r="V469" s="376"/>
      <c r="W469" s="377"/>
      <c r="X469" s="377">
        <f t="shared" si="179"/>
        <v>0</v>
      </c>
      <c r="Y469" s="222">
        <f t="shared" si="167"/>
        <v>30000</v>
      </c>
      <c r="Z469" s="223">
        <f t="shared" si="162"/>
        <v>180000</v>
      </c>
    </row>
    <row r="470" spans="1:26" s="44" customFormat="1" ht="24" customHeight="1">
      <c r="A470" s="106" t="s">
        <v>458</v>
      </c>
      <c r="B470" s="72" t="s">
        <v>459</v>
      </c>
      <c r="C470" s="237"/>
      <c r="D470" s="237"/>
      <c r="E470" s="228">
        <f t="shared" si="177"/>
        <v>0.3</v>
      </c>
      <c r="F470" s="392"/>
      <c r="G470" s="376">
        <f t="shared" si="161"/>
        <v>0.3</v>
      </c>
      <c r="H470" s="377"/>
      <c r="I470" s="387"/>
      <c r="J470" s="377"/>
      <c r="K470" s="377"/>
      <c r="L470" s="386"/>
      <c r="M470" s="377"/>
      <c r="N470" s="377"/>
      <c r="O470" s="385">
        <v>0.3</v>
      </c>
      <c r="P470" s="377"/>
      <c r="Q470" s="377"/>
      <c r="R470" s="377"/>
      <c r="S470" s="377"/>
      <c r="T470" s="377">
        <f t="shared" si="178"/>
        <v>0</v>
      </c>
      <c r="U470" s="377"/>
      <c r="V470" s="376"/>
      <c r="W470" s="377"/>
      <c r="X470" s="377">
        <f t="shared" si="179"/>
        <v>0</v>
      </c>
      <c r="Y470" s="222">
        <f t="shared" si="167"/>
        <v>30000</v>
      </c>
      <c r="Z470" s="223">
        <f t="shared" si="162"/>
        <v>180000</v>
      </c>
    </row>
    <row r="471" spans="1:26" s="44" customFormat="1" ht="24" customHeight="1">
      <c r="A471" s="106" t="s">
        <v>460</v>
      </c>
      <c r="B471" s="72" t="s">
        <v>461</v>
      </c>
      <c r="C471" s="237"/>
      <c r="D471" s="237"/>
      <c r="E471" s="228">
        <f t="shared" si="177"/>
        <v>0.3</v>
      </c>
      <c r="F471" s="392"/>
      <c r="G471" s="376">
        <f t="shared" si="161"/>
        <v>0.3</v>
      </c>
      <c r="H471" s="377"/>
      <c r="I471" s="387"/>
      <c r="J471" s="377"/>
      <c r="K471" s="377"/>
      <c r="L471" s="386"/>
      <c r="M471" s="377"/>
      <c r="N471" s="377"/>
      <c r="O471" s="385">
        <v>0.3</v>
      </c>
      <c r="P471" s="377"/>
      <c r="Q471" s="377"/>
      <c r="R471" s="377"/>
      <c r="S471" s="377"/>
      <c r="T471" s="377">
        <f t="shared" si="178"/>
        <v>0</v>
      </c>
      <c r="U471" s="377"/>
      <c r="V471" s="376"/>
      <c r="W471" s="377"/>
      <c r="X471" s="377">
        <f t="shared" si="179"/>
        <v>0</v>
      </c>
      <c r="Y471" s="222">
        <f t="shared" si="167"/>
        <v>30000</v>
      </c>
      <c r="Z471" s="223">
        <f t="shared" si="162"/>
        <v>180000</v>
      </c>
    </row>
    <row r="472" spans="1:26" s="44" customFormat="1" ht="24" customHeight="1">
      <c r="A472" s="106" t="s">
        <v>462</v>
      </c>
      <c r="B472" s="72" t="s">
        <v>463</v>
      </c>
      <c r="C472" s="237"/>
      <c r="D472" s="237"/>
      <c r="E472" s="228">
        <f t="shared" si="177"/>
        <v>0.3</v>
      </c>
      <c r="F472" s="392"/>
      <c r="G472" s="376">
        <f>+SUM(H472:W472)</f>
        <v>0.3</v>
      </c>
      <c r="H472" s="377"/>
      <c r="I472" s="387"/>
      <c r="J472" s="377"/>
      <c r="K472" s="377"/>
      <c r="L472" s="386"/>
      <c r="M472" s="377"/>
      <c r="N472" s="377"/>
      <c r="O472" s="385">
        <v>0.3</v>
      </c>
      <c r="P472" s="377"/>
      <c r="Q472" s="377"/>
      <c r="R472" s="377"/>
      <c r="S472" s="377"/>
      <c r="T472" s="377">
        <f t="shared" si="178"/>
        <v>0</v>
      </c>
      <c r="U472" s="377"/>
      <c r="V472" s="376"/>
      <c r="W472" s="377"/>
      <c r="X472" s="377">
        <f t="shared" si="179"/>
        <v>0</v>
      </c>
      <c r="Y472" s="222">
        <f t="shared" si="167"/>
        <v>30000</v>
      </c>
      <c r="Z472" s="223">
        <f t="shared" si="162"/>
        <v>180000</v>
      </c>
    </row>
    <row r="473" spans="1:26" s="44" customFormat="1" ht="24" customHeight="1">
      <c r="A473" s="106" t="s">
        <v>464</v>
      </c>
      <c r="B473" s="72" t="s">
        <v>465</v>
      </c>
      <c r="C473" s="237"/>
      <c r="D473" s="237"/>
      <c r="E473" s="228">
        <f t="shared" si="177"/>
        <v>0.3</v>
      </c>
      <c r="F473" s="392"/>
      <c r="G473" s="376">
        <f>+SUM(H473:W473)</f>
        <v>0.3</v>
      </c>
      <c r="H473" s="377"/>
      <c r="I473" s="387"/>
      <c r="J473" s="377"/>
      <c r="K473" s="377"/>
      <c r="L473" s="386"/>
      <c r="M473" s="377"/>
      <c r="N473" s="377"/>
      <c r="O473" s="385">
        <v>0.3</v>
      </c>
      <c r="P473" s="377"/>
      <c r="Q473" s="377"/>
      <c r="R473" s="377"/>
      <c r="S473" s="377"/>
      <c r="T473" s="377">
        <f t="shared" si="178"/>
        <v>0</v>
      </c>
      <c r="U473" s="377"/>
      <c r="V473" s="376"/>
      <c r="W473" s="377"/>
      <c r="X473" s="377">
        <f t="shared" si="179"/>
        <v>0</v>
      </c>
      <c r="Y473" s="222">
        <f t="shared" si="167"/>
        <v>30000</v>
      </c>
      <c r="Z473" s="223">
        <f t="shared" si="162"/>
        <v>180000</v>
      </c>
    </row>
    <row r="474" spans="1:26" s="44" customFormat="1" ht="24" customHeight="1">
      <c r="A474" s="106" t="s">
        <v>466</v>
      </c>
      <c r="B474" s="72" t="s">
        <v>467</v>
      </c>
      <c r="C474" s="237"/>
      <c r="D474" s="237"/>
      <c r="E474" s="228">
        <f t="shared" si="177"/>
        <v>0.3</v>
      </c>
      <c r="F474" s="392"/>
      <c r="G474" s="376">
        <f>+SUM(H474:W474)</f>
        <v>0.3</v>
      </c>
      <c r="H474" s="377"/>
      <c r="I474" s="387"/>
      <c r="J474" s="377"/>
      <c r="K474" s="377"/>
      <c r="L474" s="386"/>
      <c r="M474" s="377"/>
      <c r="N474" s="377"/>
      <c r="O474" s="385">
        <v>0.3</v>
      </c>
      <c r="P474" s="377"/>
      <c r="Q474" s="377"/>
      <c r="R474" s="377"/>
      <c r="S474" s="377"/>
      <c r="T474" s="377">
        <f t="shared" si="178"/>
        <v>0</v>
      </c>
      <c r="U474" s="377"/>
      <c r="V474" s="376"/>
      <c r="W474" s="377"/>
      <c r="X474" s="377">
        <f t="shared" si="179"/>
        <v>0</v>
      </c>
      <c r="Y474" s="222">
        <f t="shared" si="167"/>
        <v>30000</v>
      </c>
      <c r="Z474" s="223">
        <f t="shared" si="162"/>
        <v>180000</v>
      </c>
    </row>
    <row r="475" spans="1:26" s="44" customFormat="1" ht="35.450000000000003" customHeight="1">
      <c r="A475" s="81" t="s">
        <v>79</v>
      </c>
      <c r="B475" s="240" t="s">
        <v>332</v>
      </c>
      <c r="C475" s="237">
        <f t="shared" ref="C475:Z475" si="180">SUM(C476:C477)</f>
        <v>29</v>
      </c>
      <c r="D475" s="237">
        <f t="shared" si="180"/>
        <v>0</v>
      </c>
      <c r="E475" s="238">
        <f t="shared" si="180"/>
        <v>37</v>
      </c>
      <c r="F475" s="387">
        <f t="shared" si="180"/>
        <v>37</v>
      </c>
      <c r="G475" s="387">
        <f t="shared" si="180"/>
        <v>0</v>
      </c>
      <c r="H475" s="387">
        <f t="shared" si="180"/>
        <v>0</v>
      </c>
      <c r="I475" s="387">
        <f t="shared" si="180"/>
        <v>0</v>
      </c>
      <c r="J475" s="387">
        <f t="shared" si="180"/>
        <v>0</v>
      </c>
      <c r="K475" s="387">
        <f t="shared" si="180"/>
        <v>0</v>
      </c>
      <c r="L475" s="393">
        <f t="shared" si="180"/>
        <v>0</v>
      </c>
      <c r="M475" s="387">
        <f t="shared" si="180"/>
        <v>0</v>
      </c>
      <c r="N475" s="387">
        <f t="shared" si="180"/>
        <v>0</v>
      </c>
      <c r="O475" s="387">
        <f t="shared" si="180"/>
        <v>0</v>
      </c>
      <c r="P475" s="387">
        <f t="shared" si="180"/>
        <v>0</v>
      </c>
      <c r="Q475" s="387">
        <f t="shared" si="180"/>
        <v>0</v>
      </c>
      <c r="R475" s="387">
        <f t="shared" si="180"/>
        <v>0</v>
      </c>
      <c r="S475" s="387">
        <f t="shared" si="180"/>
        <v>0</v>
      </c>
      <c r="T475" s="387">
        <f t="shared" si="180"/>
        <v>0</v>
      </c>
      <c r="U475" s="387">
        <f t="shared" si="180"/>
        <v>0</v>
      </c>
      <c r="V475" s="387">
        <f t="shared" si="180"/>
        <v>0</v>
      </c>
      <c r="W475" s="387">
        <f t="shared" si="180"/>
        <v>0</v>
      </c>
      <c r="X475" s="387">
        <f t="shared" si="180"/>
        <v>0</v>
      </c>
      <c r="Y475" s="34">
        <f t="shared" si="180"/>
        <v>3700000</v>
      </c>
      <c r="Z475" s="34">
        <f t="shared" si="180"/>
        <v>22200000</v>
      </c>
    </row>
    <row r="476" spans="1:26" s="44" customFormat="1" ht="24" customHeight="1">
      <c r="A476" s="123">
        <v>1</v>
      </c>
      <c r="B476" s="243" t="s">
        <v>170</v>
      </c>
      <c r="C476" s="237">
        <v>14</v>
      </c>
      <c r="D476" s="237"/>
      <c r="E476" s="228">
        <f>+F476+G476+X476</f>
        <v>16</v>
      </c>
      <c r="F476" s="389">
        <v>16</v>
      </c>
      <c r="G476" s="376">
        <f t="shared" ref="G476:G499" si="181">+SUM(H476:W476)</f>
        <v>0</v>
      </c>
      <c r="H476" s="377"/>
      <c r="I476" s="387"/>
      <c r="J476" s="377"/>
      <c r="K476" s="377"/>
      <c r="L476" s="386"/>
      <c r="M476" s="377"/>
      <c r="N476" s="377"/>
      <c r="O476" s="382"/>
      <c r="P476" s="377"/>
      <c r="Q476" s="377"/>
      <c r="R476" s="377"/>
      <c r="S476" s="377"/>
      <c r="T476" s="377"/>
      <c r="U476" s="377"/>
      <c r="V476" s="376"/>
      <c r="W476" s="377"/>
      <c r="X476" s="376"/>
      <c r="Y476" s="222">
        <f t="shared" si="167"/>
        <v>1600000</v>
      </c>
      <c r="Z476" s="223">
        <f t="shared" ref="Z476:Z537" si="182">Y476*6</f>
        <v>9600000</v>
      </c>
    </row>
    <row r="477" spans="1:26" s="44" customFormat="1" ht="24" customHeight="1">
      <c r="A477" s="123">
        <v>2</v>
      </c>
      <c r="B477" s="243" t="s">
        <v>333</v>
      </c>
      <c r="C477" s="237">
        <v>15</v>
      </c>
      <c r="D477" s="237"/>
      <c r="E477" s="228">
        <f>+F477+G477+X477</f>
        <v>21</v>
      </c>
      <c r="F477" s="389">
        <f>3*5+2*3</f>
        <v>21</v>
      </c>
      <c r="G477" s="376">
        <f t="shared" si="181"/>
        <v>0</v>
      </c>
      <c r="H477" s="377"/>
      <c r="I477" s="387"/>
      <c r="J477" s="377"/>
      <c r="K477" s="377"/>
      <c r="L477" s="386"/>
      <c r="M477" s="377"/>
      <c r="N477" s="377"/>
      <c r="O477" s="382"/>
      <c r="P477" s="377"/>
      <c r="Q477" s="377"/>
      <c r="R477" s="377"/>
      <c r="S477" s="377"/>
      <c r="T477" s="377"/>
      <c r="U477" s="377"/>
      <c r="V477" s="376"/>
      <c r="W477" s="377"/>
      <c r="X477" s="377"/>
      <c r="Y477" s="222">
        <f t="shared" si="167"/>
        <v>2100000</v>
      </c>
      <c r="Z477" s="223">
        <f t="shared" si="182"/>
        <v>12600000</v>
      </c>
    </row>
    <row r="478" spans="1:26" s="44" customFormat="1" ht="24" customHeight="1">
      <c r="A478" s="244" t="s">
        <v>116</v>
      </c>
      <c r="B478" s="245" t="s">
        <v>704</v>
      </c>
      <c r="C478" s="237"/>
      <c r="D478" s="237"/>
      <c r="E478" s="228"/>
      <c r="F478" s="394"/>
      <c r="G478" s="376"/>
      <c r="H478" s="377"/>
      <c r="I478" s="387"/>
      <c r="J478" s="377"/>
      <c r="K478" s="377"/>
      <c r="L478" s="386"/>
      <c r="M478" s="377"/>
      <c r="N478" s="377"/>
      <c r="O478" s="382"/>
      <c r="P478" s="377"/>
      <c r="Q478" s="377"/>
      <c r="R478" s="377"/>
      <c r="S478" s="377"/>
      <c r="T478" s="377"/>
      <c r="U478" s="377"/>
      <c r="V478" s="376"/>
      <c r="W478" s="377"/>
      <c r="X478" s="377"/>
      <c r="Y478" s="222">
        <f t="shared" si="167"/>
        <v>0</v>
      </c>
      <c r="Z478" s="223">
        <f t="shared" si="182"/>
        <v>0</v>
      </c>
    </row>
    <row r="479" spans="1:26" s="44" customFormat="1" ht="24" customHeight="1">
      <c r="A479" s="123">
        <v>1</v>
      </c>
      <c r="B479" s="246" t="s">
        <v>334</v>
      </c>
      <c r="C479" s="237"/>
      <c r="D479" s="237"/>
      <c r="E479" s="228"/>
      <c r="F479" s="394"/>
      <c r="G479" s="376"/>
      <c r="H479" s="377"/>
      <c r="I479" s="387"/>
      <c r="J479" s="377"/>
      <c r="K479" s="377"/>
      <c r="L479" s="386"/>
      <c r="M479" s="377"/>
      <c r="N479" s="377"/>
      <c r="O479" s="382"/>
      <c r="P479" s="377"/>
      <c r="Q479" s="377"/>
      <c r="R479" s="377"/>
      <c r="S479" s="377"/>
      <c r="T479" s="377"/>
      <c r="U479" s="377"/>
      <c r="V479" s="376"/>
      <c r="W479" s="377"/>
      <c r="X479" s="377"/>
      <c r="Y479" s="222">
        <f t="shared" si="167"/>
        <v>0</v>
      </c>
      <c r="Z479" s="223">
        <f t="shared" si="182"/>
        <v>0</v>
      </c>
    </row>
    <row r="480" spans="1:26" s="44" customFormat="1" ht="24" customHeight="1">
      <c r="A480" s="123">
        <v>2</v>
      </c>
      <c r="B480" s="246" t="s">
        <v>335</v>
      </c>
      <c r="C480" s="237"/>
      <c r="D480" s="237"/>
      <c r="E480" s="228"/>
      <c r="F480" s="394"/>
      <c r="G480" s="376"/>
      <c r="H480" s="377"/>
      <c r="I480" s="387"/>
      <c r="J480" s="377"/>
      <c r="K480" s="377"/>
      <c r="L480" s="386"/>
      <c r="M480" s="377"/>
      <c r="N480" s="377"/>
      <c r="O480" s="382"/>
      <c r="P480" s="377"/>
      <c r="Q480" s="377"/>
      <c r="R480" s="377"/>
      <c r="S480" s="377"/>
      <c r="T480" s="377"/>
      <c r="U480" s="377"/>
      <c r="V480" s="376"/>
      <c r="W480" s="377"/>
      <c r="X480" s="377"/>
      <c r="Y480" s="222">
        <f t="shared" si="167"/>
        <v>0</v>
      </c>
      <c r="Z480" s="223">
        <f t="shared" si="182"/>
        <v>0</v>
      </c>
    </row>
    <row r="481" spans="1:26" s="44" customFormat="1" ht="24" customHeight="1">
      <c r="A481" s="80" t="s">
        <v>612</v>
      </c>
      <c r="B481" s="45" t="s">
        <v>338</v>
      </c>
      <c r="C481" s="229">
        <v>21</v>
      </c>
      <c r="D481" s="229">
        <v>16</v>
      </c>
      <c r="E481" s="231">
        <f>E482+E493+E500+E503+E524</f>
        <v>107.32525000000001</v>
      </c>
      <c r="F481" s="381">
        <f t="shared" ref="F481:X481" si="183">F482+F493+F500+F503+F524</f>
        <v>71.650000000000006</v>
      </c>
      <c r="G481" s="381">
        <f t="shared" si="183"/>
        <v>25.381499999999996</v>
      </c>
      <c r="H481" s="381">
        <f t="shared" si="183"/>
        <v>0</v>
      </c>
      <c r="I481" s="381">
        <f t="shared" si="183"/>
        <v>1.7999999999999996</v>
      </c>
      <c r="J481" s="381">
        <f t="shared" si="183"/>
        <v>0</v>
      </c>
      <c r="K481" s="381">
        <f t="shared" si="183"/>
        <v>0</v>
      </c>
      <c r="L481" s="381">
        <f t="shared" si="183"/>
        <v>2.2440000000000002</v>
      </c>
      <c r="M481" s="381">
        <f t="shared" si="183"/>
        <v>0</v>
      </c>
      <c r="N481" s="381">
        <f t="shared" si="183"/>
        <v>3.899999999999999</v>
      </c>
      <c r="O481" s="381">
        <f t="shared" si="183"/>
        <v>5.9999999999999982</v>
      </c>
      <c r="P481" s="381">
        <f t="shared" si="183"/>
        <v>0</v>
      </c>
      <c r="Q481" s="381">
        <f t="shared" si="183"/>
        <v>0</v>
      </c>
      <c r="R481" s="381">
        <f t="shared" si="183"/>
        <v>0</v>
      </c>
      <c r="S481" s="381">
        <f t="shared" si="183"/>
        <v>0</v>
      </c>
      <c r="T481" s="381">
        <f t="shared" si="183"/>
        <v>11.4375</v>
      </c>
      <c r="U481" s="381">
        <f t="shared" si="183"/>
        <v>0</v>
      </c>
      <c r="V481" s="381">
        <f t="shared" si="183"/>
        <v>0</v>
      </c>
      <c r="W481" s="381">
        <f t="shared" si="183"/>
        <v>0</v>
      </c>
      <c r="X481" s="395">
        <f t="shared" si="183"/>
        <v>10.293749999999999</v>
      </c>
      <c r="Y481" s="236">
        <f>Y482+Y493+Y500+Y503+Y524</f>
        <v>10732525</v>
      </c>
      <c r="Z481" s="236">
        <f>Z482+Z493+Z500+Z503+Z524</f>
        <v>64395150</v>
      </c>
    </row>
    <row r="482" spans="1:26" s="44" customFormat="1" ht="24" customHeight="1">
      <c r="A482" s="83" t="s">
        <v>2</v>
      </c>
      <c r="B482" s="84" t="s">
        <v>339</v>
      </c>
      <c r="C482" s="247"/>
      <c r="D482" s="247"/>
      <c r="E482" s="248">
        <f>SUM(E483:E492)</f>
        <v>45.284500000000001</v>
      </c>
      <c r="F482" s="396">
        <f>SUM(F483:F492)</f>
        <v>27.380000000000003</v>
      </c>
      <c r="G482" s="396">
        <f t="shared" ref="G482:X482" si="184">SUM(G483:G492)</f>
        <v>11.338999999999999</v>
      </c>
      <c r="H482" s="396">
        <f t="shared" si="184"/>
        <v>0</v>
      </c>
      <c r="I482" s="396">
        <f t="shared" si="184"/>
        <v>1.7999999999999996</v>
      </c>
      <c r="J482" s="396">
        <f t="shared" si="184"/>
        <v>0</v>
      </c>
      <c r="K482" s="396">
        <f t="shared" si="184"/>
        <v>0</v>
      </c>
      <c r="L482" s="397">
        <f t="shared" si="184"/>
        <v>2.2440000000000002</v>
      </c>
      <c r="M482" s="396">
        <f t="shared" si="184"/>
        <v>0</v>
      </c>
      <c r="N482" s="396">
        <f t="shared" si="184"/>
        <v>0</v>
      </c>
      <c r="O482" s="396">
        <f t="shared" si="184"/>
        <v>0</v>
      </c>
      <c r="P482" s="396">
        <f t="shared" si="184"/>
        <v>0</v>
      </c>
      <c r="Q482" s="396">
        <f t="shared" si="184"/>
        <v>0</v>
      </c>
      <c r="R482" s="396">
        <f t="shared" si="184"/>
        <v>0</v>
      </c>
      <c r="S482" s="396">
        <f t="shared" si="184"/>
        <v>0</v>
      </c>
      <c r="T482" s="396">
        <f t="shared" si="184"/>
        <v>7.294999999999999</v>
      </c>
      <c r="U482" s="396">
        <f t="shared" si="184"/>
        <v>0</v>
      </c>
      <c r="V482" s="396">
        <f t="shared" si="184"/>
        <v>0</v>
      </c>
      <c r="W482" s="396">
        <f t="shared" si="184"/>
        <v>0</v>
      </c>
      <c r="X482" s="398">
        <f t="shared" si="184"/>
        <v>6.5655000000000001</v>
      </c>
      <c r="Y482" s="250">
        <f>SUM(Y483:Y492)</f>
        <v>4528450</v>
      </c>
      <c r="Z482" s="250">
        <f>SUM(Z483:Z492)</f>
        <v>27170700</v>
      </c>
    </row>
    <row r="483" spans="1:26" s="44" customFormat="1" ht="24" customHeight="1">
      <c r="A483" s="85">
        <v>1</v>
      </c>
      <c r="B483" s="251" t="s">
        <v>340</v>
      </c>
      <c r="C483" s="252"/>
      <c r="D483" s="252"/>
      <c r="E483" s="228">
        <f t="shared" ref="E483:E492" si="185">+F483+G483+X483</f>
        <v>6.6174999999999997</v>
      </c>
      <c r="F483" s="399">
        <v>3</v>
      </c>
      <c r="G483" s="376">
        <f t="shared" si="181"/>
        <v>2.875</v>
      </c>
      <c r="H483" s="377"/>
      <c r="I483" s="400">
        <v>0.3</v>
      </c>
      <c r="J483" s="377"/>
      <c r="K483" s="377"/>
      <c r="L483" s="401">
        <f>F483*0.5+0.25</f>
        <v>1.75</v>
      </c>
      <c r="M483" s="377"/>
      <c r="N483" s="377"/>
      <c r="O483" s="382"/>
      <c r="P483" s="377"/>
      <c r="Q483" s="377"/>
      <c r="R483" s="377"/>
      <c r="S483" s="377"/>
      <c r="T483" s="377">
        <f>(F483+I483+J483)*25/100</f>
        <v>0.82499999999999996</v>
      </c>
      <c r="U483" s="377"/>
      <c r="V483" s="376"/>
      <c r="W483" s="377"/>
      <c r="X483" s="377">
        <f t="shared" ref="X483:X492" si="186">(F483+I483+J483+K483)*22.5/100</f>
        <v>0.74250000000000005</v>
      </c>
      <c r="Y483" s="222">
        <f t="shared" si="167"/>
        <v>661750</v>
      </c>
      <c r="Z483" s="223">
        <f t="shared" si="182"/>
        <v>3970500</v>
      </c>
    </row>
    <row r="484" spans="1:26" s="44" customFormat="1" ht="24" customHeight="1">
      <c r="A484" s="85">
        <v>2</v>
      </c>
      <c r="B484" s="77" t="s">
        <v>341</v>
      </c>
      <c r="C484" s="253"/>
      <c r="D484" s="253"/>
      <c r="E484" s="228">
        <f t="shared" si="185"/>
        <v>4.3070000000000004</v>
      </c>
      <c r="F484" s="399">
        <v>2.67</v>
      </c>
      <c r="G484" s="376">
        <f t="shared" si="181"/>
        <v>0.98</v>
      </c>
      <c r="H484" s="377"/>
      <c r="I484" s="400">
        <v>0.25</v>
      </c>
      <c r="J484" s="377"/>
      <c r="K484" s="377"/>
      <c r="L484" s="383"/>
      <c r="M484" s="377"/>
      <c r="N484" s="377"/>
      <c r="O484" s="382"/>
      <c r="P484" s="377"/>
      <c r="Q484" s="377"/>
      <c r="R484" s="377"/>
      <c r="S484" s="377"/>
      <c r="T484" s="377">
        <f t="shared" si="178"/>
        <v>0.73</v>
      </c>
      <c r="U484" s="377"/>
      <c r="V484" s="376"/>
      <c r="W484" s="377"/>
      <c r="X484" s="377">
        <f t="shared" si="186"/>
        <v>0.65700000000000003</v>
      </c>
      <c r="Y484" s="222">
        <f t="shared" si="167"/>
        <v>430700.00000000006</v>
      </c>
      <c r="Z484" s="223">
        <f t="shared" si="182"/>
        <v>2584200.0000000005</v>
      </c>
    </row>
    <row r="485" spans="1:26" s="44" customFormat="1" ht="24" customHeight="1">
      <c r="A485" s="85">
        <v>3</v>
      </c>
      <c r="B485" s="77" t="s">
        <v>342</v>
      </c>
      <c r="C485" s="252"/>
      <c r="D485" s="252"/>
      <c r="E485" s="228">
        <f t="shared" si="185"/>
        <v>6.2540000000000004</v>
      </c>
      <c r="F485" s="399">
        <v>3.99</v>
      </c>
      <c r="G485" s="376">
        <f t="shared" si="181"/>
        <v>1.31</v>
      </c>
      <c r="H485" s="377"/>
      <c r="I485" s="400">
        <v>0.25</v>
      </c>
      <c r="J485" s="377"/>
      <c r="K485" s="377"/>
      <c r="L485" s="383"/>
      <c r="M485" s="377"/>
      <c r="N485" s="377"/>
      <c r="O485" s="382"/>
      <c r="P485" s="377"/>
      <c r="Q485" s="377"/>
      <c r="R485" s="377"/>
      <c r="S485" s="377"/>
      <c r="T485" s="377">
        <f t="shared" si="178"/>
        <v>1.06</v>
      </c>
      <c r="U485" s="377"/>
      <c r="V485" s="376"/>
      <c r="W485" s="377"/>
      <c r="X485" s="377">
        <f t="shared" si="186"/>
        <v>0.95400000000000007</v>
      </c>
      <c r="Y485" s="222">
        <f t="shared" si="167"/>
        <v>625400</v>
      </c>
      <c r="Z485" s="223">
        <f t="shared" si="182"/>
        <v>3752400</v>
      </c>
    </row>
    <row r="486" spans="1:26" s="44" customFormat="1" ht="24" customHeight="1">
      <c r="A486" s="85">
        <v>4</v>
      </c>
      <c r="B486" s="77" t="s">
        <v>343</v>
      </c>
      <c r="C486" s="252"/>
      <c r="D486" s="252"/>
      <c r="E486" s="228">
        <f t="shared" si="185"/>
        <v>4.72</v>
      </c>
      <c r="F486" s="399">
        <v>3</v>
      </c>
      <c r="G486" s="376">
        <f t="shared" si="181"/>
        <v>1</v>
      </c>
      <c r="H486" s="377"/>
      <c r="I486" s="400">
        <v>0.2</v>
      </c>
      <c r="J486" s="377"/>
      <c r="K486" s="377"/>
      <c r="L486" s="383"/>
      <c r="M486" s="377"/>
      <c r="N486" s="377"/>
      <c r="O486" s="382"/>
      <c r="P486" s="377"/>
      <c r="Q486" s="377"/>
      <c r="R486" s="377"/>
      <c r="S486" s="377"/>
      <c r="T486" s="377">
        <f t="shared" si="178"/>
        <v>0.8</v>
      </c>
      <c r="U486" s="377"/>
      <c r="V486" s="376"/>
      <c r="W486" s="377"/>
      <c r="X486" s="377">
        <f t="shared" si="186"/>
        <v>0.72</v>
      </c>
      <c r="Y486" s="222">
        <f t="shared" ref="Y486:Y549" si="187">E486*100000</f>
        <v>472000</v>
      </c>
      <c r="Z486" s="223">
        <f t="shared" si="182"/>
        <v>2832000</v>
      </c>
    </row>
    <row r="487" spans="1:26" s="44" customFormat="1" ht="24" customHeight="1">
      <c r="A487" s="85">
        <v>5</v>
      </c>
      <c r="B487" s="251" t="s">
        <v>344</v>
      </c>
      <c r="C487" s="252"/>
      <c r="D487" s="252"/>
      <c r="E487" s="228">
        <f t="shared" si="185"/>
        <v>4.23325</v>
      </c>
      <c r="F487" s="399">
        <v>2.67</v>
      </c>
      <c r="G487" s="376">
        <f t="shared" si="181"/>
        <v>0.91749999999999998</v>
      </c>
      <c r="H487" s="377"/>
      <c r="I487" s="400">
        <v>0.2</v>
      </c>
      <c r="J487" s="377"/>
      <c r="K487" s="377"/>
      <c r="L487" s="383"/>
      <c r="M487" s="377"/>
      <c r="N487" s="377"/>
      <c r="O487" s="382"/>
      <c r="P487" s="377"/>
      <c r="Q487" s="377"/>
      <c r="R487" s="377"/>
      <c r="S487" s="377"/>
      <c r="T487" s="377">
        <f t="shared" si="178"/>
        <v>0.71750000000000003</v>
      </c>
      <c r="U487" s="377"/>
      <c r="V487" s="376"/>
      <c r="W487" s="377"/>
      <c r="X487" s="377">
        <f t="shared" si="186"/>
        <v>0.64575000000000005</v>
      </c>
      <c r="Y487" s="222">
        <f t="shared" si="187"/>
        <v>423325</v>
      </c>
      <c r="Z487" s="223">
        <f t="shared" si="182"/>
        <v>2539950</v>
      </c>
    </row>
    <row r="488" spans="1:26" s="44" customFormat="1" ht="24" customHeight="1">
      <c r="A488" s="85">
        <v>6</v>
      </c>
      <c r="B488" s="251" t="s">
        <v>345</v>
      </c>
      <c r="C488" s="252"/>
      <c r="D488" s="252"/>
      <c r="E488" s="228">
        <f t="shared" si="185"/>
        <v>3.8587500000000001</v>
      </c>
      <c r="F488" s="399">
        <v>2.4500000000000002</v>
      </c>
      <c r="G488" s="376">
        <f t="shared" si="181"/>
        <v>0.85750000000000004</v>
      </c>
      <c r="H488" s="377"/>
      <c r="I488" s="400"/>
      <c r="J488" s="377"/>
      <c r="K488" s="377"/>
      <c r="L488" s="385">
        <f>(F488+I488)*10%</f>
        <v>0.24500000000000002</v>
      </c>
      <c r="M488" s="377"/>
      <c r="N488" s="377"/>
      <c r="O488" s="382"/>
      <c r="P488" s="377"/>
      <c r="Q488" s="377"/>
      <c r="R488" s="377"/>
      <c r="S488" s="377"/>
      <c r="T488" s="377">
        <f t="shared" si="178"/>
        <v>0.61250000000000004</v>
      </c>
      <c r="U488" s="377"/>
      <c r="V488" s="376"/>
      <c r="W488" s="377"/>
      <c r="X488" s="377">
        <f t="shared" si="186"/>
        <v>0.55125000000000002</v>
      </c>
      <c r="Y488" s="222">
        <f t="shared" si="187"/>
        <v>385875</v>
      </c>
      <c r="Z488" s="223">
        <f t="shared" si="182"/>
        <v>2315250</v>
      </c>
    </row>
    <row r="489" spans="1:26" s="44" customFormat="1" ht="24" customHeight="1">
      <c r="A489" s="85">
        <v>7</v>
      </c>
      <c r="B489" s="77" t="s">
        <v>346</v>
      </c>
      <c r="C489" s="252"/>
      <c r="D489" s="252"/>
      <c r="E489" s="228">
        <f t="shared" si="185"/>
        <v>3.6727499999999997</v>
      </c>
      <c r="F489" s="399">
        <v>2.34</v>
      </c>
      <c r="G489" s="376">
        <f t="shared" si="181"/>
        <v>0.77249999999999996</v>
      </c>
      <c r="H489" s="377"/>
      <c r="I489" s="400">
        <v>0.15</v>
      </c>
      <c r="J489" s="377"/>
      <c r="K489" s="377"/>
      <c r="L489" s="385"/>
      <c r="M489" s="377"/>
      <c r="N489" s="377"/>
      <c r="O489" s="382"/>
      <c r="P489" s="377"/>
      <c r="Q489" s="377"/>
      <c r="R489" s="377"/>
      <c r="S489" s="377"/>
      <c r="T489" s="377">
        <f t="shared" si="178"/>
        <v>0.62249999999999994</v>
      </c>
      <c r="U489" s="377"/>
      <c r="V489" s="376"/>
      <c r="W489" s="377"/>
      <c r="X489" s="377">
        <f t="shared" si="186"/>
        <v>0.56024999999999991</v>
      </c>
      <c r="Y489" s="222">
        <f t="shared" si="187"/>
        <v>367275</v>
      </c>
      <c r="Z489" s="223">
        <f t="shared" si="182"/>
        <v>2203650</v>
      </c>
    </row>
    <row r="490" spans="1:26" s="44" customFormat="1" ht="24" customHeight="1">
      <c r="A490" s="85">
        <v>8</v>
      </c>
      <c r="B490" s="77" t="s">
        <v>347</v>
      </c>
      <c r="C490" s="252"/>
      <c r="D490" s="252"/>
      <c r="E490" s="228">
        <f t="shared" si="185"/>
        <v>3.9217499999999998</v>
      </c>
      <c r="F490" s="399">
        <v>2.34</v>
      </c>
      <c r="G490" s="376">
        <f t="shared" si="181"/>
        <v>1.0215000000000001</v>
      </c>
      <c r="H490" s="377"/>
      <c r="I490" s="400">
        <v>0.15</v>
      </c>
      <c r="J490" s="377"/>
      <c r="K490" s="377"/>
      <c r="L490" s="385">
        <f>(F490+I490)*10%</f>
        <v>0.249</v>
      </c>
      <c r="M490" s="377"/>
      <c r="N490" s="377"/>
      <c r="O490" s="382"/>
      <c r="P490" s="377"/>
      <c r="Q490" s="377"/>
      <c r="R490" s="377"/>
      <c r="S490" s="377"/>
      <c r="T490" s="377">
        <f t="shared" si="178"/>
        <v>0.62249999999999994</v>
      </c>
      <c r="U490" s="377"/>
      <c r="V490" s="376"/>
      <c r="W490" s="377"/>
      <c r="X490" s="377">
        <f t="shared" si="186"/>
        <v>0.56024999999999991</v>
      </c>
      <c r="Y490" s="222">
        <f t="shared" si="187"/>
        <v>392175</v>
      </c>
      <c r="Z490" s="223">
        <f t="shared" si="182"/>
        <v>2353050</v>
      </c>
    </row>
    <row r="491" spans="1:26" s="44" customFormat="1" ht="24" customHeight="1">
      <c r="A491" s="85">
        <v>9</v>
      </c>
      <c r="B491" s="77" t="s">
        <v>348</v>
      </c>
      <c r="C491" s="252"/>
      <c r="D491" s="252"/>
      <c r="E491" s="228">
        <f t="shared" si="185"/>
        <v>4.1594999999999995</v>
      </c>
      <c r="F491" s="399">
        <v>2.67</v>
      </c>
      <c r="G491" s="376">
        <f t="shared" si="181"/>
        <v>0.85499999999999998</v>
      </c>
      <c r="H491" s="377"/>
      <c r="I491" s="400">
        <v>0.15</v>
      </c>
      <c r="J491" s="377"/>
      <c r="K491" s="377"/>
      <c r="L491" s="383"/>
      <c r="M491" s="377"/>
      <c r="N491" s="377"/>
      <c r="O491" s="382"/>
      <c r="P491" s="377"/>
      <c r="Q491" s="377"/>
      <c r="R491" s="377"/>
      <c r="S491" s="377"/>
      <c r="T491" s="377">
        <f t="shared" si="178"/>
        <v>0.70499999999999996</v>
      </c>
      <c r="U491" s="377"/>
      <c r="V491" s="376"/>
      <c r="W491" s="377"/>
      <c r="X491" s="377">
        <f t="shared" si="186"/>
        <v>0.63449999999999995</v>
      </c>
      <c r="Y491" s="222">
        <f t="shared" si="187"/>
        <v>415949.99999999994</v>
      </c>
      <c r="Z491" s="223">
        <f t="shared" si="182"/>
        <v>2495699.9999999995</v>
      </c>
    </row>
    <row r="492" spans="1:26" s="44" customFormat="1" ht="24" customHeight="1">
      <c r="A492" s="85">
        <v>10</v>
      </c>
      <c r="B492" s="77" t="s">
        <v>349</v>
      </c>
      <c r="C492" s="252"/>
      <c r="D492" s="252"/>
      <c r="E492" s="228">
        <f t="shared" si="185"/>
        <v>3.54</v>
      </c>
      <c r="F492" s="399">
        <v>2.25</v>
      </c>
      <c r="G492" s="376">
        <f t="shared" si="181"/>
        <v>0.75</v>
      </c>
      <c r="H492" s="377"/>
      <c r="I492" s="400">
        <v>0.15</v>
      </c>
      <c r="J492" s="377"/>
      <c r="K492" s="377"/>
      <c r="L492" s="383"/>
      <c r="M492" s="377"/>
      <c r="N492" s="377"/>
      <c r="O492" s="382"/>
      <c r="P492" s="377"/>
      <c r="Q492" s="377"/>
      <c r="R492" s="377"/>
      <c r="S492" s="377"/>
      <c r="T492" s="377">
        <f t="shared" si="178"/>
        <v>0.6</v>
      </c>
      <c r="U492" s="377"/>
      <c r="V492" s="376"/>
      <c r="W492" s="377"/>
      <c r="X492" s="377">
        <f t="shared" si="186"/>
        <v>0.54</v>
      </c>
      <c r="Y492" s="222">
        <f t="shared" si="187"/>
        <v>354000</v>
      </c>
      <c r="Z492" s="223">
        <f t="shared" si="182"/>
        <v>2124000</v>
      </c>
    </row>
    <row r="493" spans="1:26" s="44" customFormat="1" ht="24" customHeight="1">
      <c r="A493" s="83" t="s">
        <v>3</v>
      </c>
      <c r="B493" s="254" t="s">
        <v>152</v>
      </c>
      <c r="C493" s="247"/>
      <c r="D493" s="247"/>
      <c r="E493" s="248">
        <f>SUM(E494:E499)</f>
        <v>24.440750000000001</v>
      </c>
      <c r="F493" s="396">
        <f>SUM(F494:F499)</f>
        <v>16.57</v>
      </c>
      <c r="G493" s="396">
        <f t="shared" ref="G493:Z493" si="188">SUM(G494:G499)</f>
        <v>4.1425000000000001</v>
      </c>
      <c r="H493" s="396">
        <f t="shared" si="188"/>
        <v>0</v>
      </c>
      <c r="I493" s="396">
        <f t="shared" si="188"/>
        <v>0</v>
      </c>
      <c r="J493" s="396">
        <f t="shared" si="188"/>
        <v>0</v>
      </c>
      <c r="K493" s="396">
        <f t="shared" si="188"/>
        <v>0</v>
      </c>
      <c r="L493" s="397">
        <f t="shared" si="188"/>
        <v>0</v>
      </c>
      <c r="M493" s="396">
        <f t="shared" si="188"/>
        <v>0</v>
      </c>
      <c r="N493" s="396">
        <f t="shared" si="188"/>
        <v>0</v>
      </c>
      <c r="O493" s="396">
        <f t="shared" si="188"/>
        <v>0</v>
      </c>
      <c r="P493" s="396">
        <f t="shared" si="188"/>
        <v>0</v>
      </c>
      <c r="Q493" s="396">
        <f t="shared" si="188"/>
        <v>0</v>
      </c>
      <c r="R493" s="396">
        <f t="shared" si="188"/>
        <v>0</v>
      </c>
      <c r="S493" s="396">
        <f t="shared" si="188"/>
        <v>0</v>
      </c>
      <c r="T493" s="396">
        <f t="shared" si="188"/>
        <v>4.1425000000000001</v>
      </c>
      <c r="U493" s="396">
        <f t="shared" si="188"/>
        <v>0</v>
      </c>
      <c r="V493" s="396">
        <f t="shared" si="188"/>
        <v>0</v>
      </c>
      <c r="W493" s="396">
        <f t="shared" si="188"/>
        <v>0</v>
      </c>
      <c r="X493" s="398">
        <f t="shared" si="188"/>
        <v>3.7282500000000001</v>
      </c>
      <c r="Y493" s="250">
        <f t="shared" si="188"/>
        <v>2444075</v>
      </c>
      <c r="Z493" s="250">
        <f t="shared" si="188"/>
        <v>14664450</v>
      </c>
    </row>
    <row r="494" spans="1:26" s="44" customFormat="1" ht="24" customHeight="1">
      <c r="A494" s="86">
        <v>1</v>
      </c>
      <c r="B494" s="251" t="s">
        <v>350</v>
      </c>
      <c r="C494" s="252"/>
      <c r="D494" s="252"/>
      <c r="E494" s="228">
        <f t="shared" ref="E494:E499" si="189">+F494+G494+X494</f>
        <v>4.4249999999999998</v>
      </c>
      <c r="F494" s="400">
        <v>3</v>
      </c>
      <c r="G494" s="376">
        <f t="shared" si="181"/>
        <v>0.75</v>
      </c>
      <c r="H494" s="377"/>
      <c r="I494" s="400"/>
      <c r="J494" s="377"/>
      <c r="K494" s="377"/>
      <c r="L494" s="383"/>
      <c r="M494" s="377"/>
      <c r="N494" s="377"/>
      <c r="O494" s="382"/>
      <c r="P494" s="377"/>
      <c r="Q494" s="377"/>
      <c r="R494" s="377"/>
      <c r="S494" s="377"/>
      <c r="T494" s="377">
        <f t="shared" si="178"/>
        <v>0.75</v>
      </c>
      <c r="U494" s="377"/>
      <c r="V494" s="376"/>
      <c r="W494" s="377"/>
      <c r="X494" s="377">
        <f t="shared" ref="X494:X499" si="190">(F494+I494+J494+K494)*22.5/100</f>
        <v>0.67500000000000004</v>
      </c>
      <c r="Y494" s="222">
        <f t="shared" si="187"/>
        <v>442500</v>
      </c>
      <c r="Z494" s="223">
        <f t="shared" si="182"/>
        <v>2655000</v>
      </c>
    </row>
    <row r="495" spans="1:26" s="44" customFormat="1" ht="24" customHeight="1">
      <c r="A495" s="86">
        <v>2</v>
      </c>
      <c r="B495" s="77" t="s">
        <v>351</v>
      </c>
      <c r="C495" s="252"/>
      <c r="D495" s="252"/>
      <c r="E495" s="228">
        <f t="shared" si="189"/>
        <v>4.0120000000000005</v>
      </c>
      <c r="F495" s="400">
        <v>2.72</v>
      </c>
      <c r="G495" s="376">
        <f t="shared" si="181"/>
        <v>0.68</v>
      </c>
      <c r="H495" s="377"/>
      <c r="I495" s="400"/>
      <c r="J495" s="377"/>
      <c r="K495" s="377"/>
      <c r="L495" s="383"/>
      <c r="M495" s="377"/>
      <c r="N495" s="377"/>
      <c r="O495" s="382"/>
      <c r="P495" s="377"/>
      <c r="Q495" s="377"/>
      <c r="R495" s="377"/>
      <c r="S495" s="377"/>
      <c r="T495" s="377">
        <f t="shared" si="178"/>
        <v>0.68</v>
      </c>
      <c r="U495" s="377"/>
      <c r="V495" s="376"/>
      <c r="W495" s="377"/>
      <c r="X495" s="377">
        <f t="shared" si="190"/>
        <v>0.61199999999999999</v>
      </c>
      <c r="Y495" s="222">
        <f t="shared" si="187"/>
        <v>401200.00000000006</v>
      </c>
      <c r="Z495" s="223">
        <f t="shared" si="182"/>
        <v>2407200.0000000005</v>
      </c>
    </row>
    <row r="496" spans="1:26" s="44" customFormat="1" ht="24" customHeight="1">
      <c r="A496" s="86">
        <v>3</v>
      </c>
      <c r="B496" s="77" t="s">
        <v>352</v>
      </c>
      <c r="C496" s="252"/>
      <c r="D496" s="252"/>
      <c r="E496" s="228">
        <f t="shared" si="189"/>
        <v>3.6285000000000003</v>
      </c>
      <c r="F496" s="400">
        <v>2.46</v>
      </c>
      <c r="G496" s="376">
        <f t="shared" si="181"/>
        <v>0.61499999999999999</v>
      </c>
      <c r="H496" s="377"/>
      <c r="I496" s="400"/>
      <c r="J496" s="377"/>
      <c r="K496" s="377"/>
      <c r="L496" s="383"/>
      <c r="M496" s="377"/>
      <c r="N496" s="377"/>
      <c r="O496" s="382"/>
      <c r="P496" s="377"/>
      <c r="Q496" s="377"/>
      <c r="R496" s="377"/>
      <c r="S496" s="377"/>
      <c r="T496" s="377">
        <f t="shared" si="178"/>
        <v>0.61499999999999999</v>
      </c>
      <c r="U496" s="377"/>
      <c r="V496" s="376"/>
      <c r="W496" s="377"/>
      <c r="X496" s="377">
        <f t="shared" si="190"/>
        <v>0.55349999999999999</v>
      </c>
      <c r="Y496" s="222">
        <f t="shared" si="187"/>
        <v>362850</v>
      </c>
      <c r="Z496" s="223">
        <f t="shared" si="182"/>
        <v>2177100</v>
      </c>
    </row>
    <row r="497" spans="1:26" s="44" customFormat="1" ht="24" customHeight="1">
      <c r="A497" s="86">
        <v>4</v>
      </c>
      <c r="B497" s="251" t="s">
        <v>353</v>
      </c>
      <c r="C497" s="252"/>
      <c r="D497" s="252"/>
      <c r="E497" s="228">
        <f t="shared" si="189"/>
        <v>4.4249999999999998</v>
      </c>
      <c r="F497" s="400">
        <v>3</v>
      </c>
      <c r="G497" s="376">
        <f t="shared" si="181"/>
        <v>0.75</v>
      </c>
      <c r="H497" s="377"/>
      <c r="I497" s="400"/>
      <c r="J497" s="377"/>
      <c r="K497" s="377"/>
      <c r="L497" s="383"/>
      <c r="M497" s="377"/>
      <c r="N497" s="377"/>
      <c r="O497" s="382"/>
      <c r="P497" s="377"/>
      <c r="Q497" s="377"/>
      <c r="R497" s="377"/>
      <c r="S497" s="377"/>
      <c r="T497" s="377">
        <f t="shared" si="178"/>
        <v>0.75</v>
      </c>
      <c r="U497" s="377"/>
      <c r="V497" s="376"/>
      <c r="W497" s="377"/>
      <c r="X497" s="377">
        <f t="shared" si="190"/>
        <v>0.67500000000000004</v>
      </c>
      <c r="Y497" s="222">
        <f t="shared" si="187"/>
        <v>442500</v>
      </c>
      <c r="Z497" s="223">
        <f t="shared" si="182"/>
        <v>2655000</v>
      </c>
    </row>
    <row r="498" spans="1:26" s="44" customFormat="1" ht="24" customHeight="1">
      <c r="A498" s="86">
        <v>5</v>
      </c>
      <c r="B498" s="251" t="s">
        <v>354</v>
      </c>
      <c r="C498" s="252"/>
      <c r="D498" s="255"/>
      <c r="E498" s="228">
        <f t="shared" si="189"/>
        <v>4.9117499999999996</v>
      </c>
      <c r="F498" s="400">
        <v>3.33</v>
      </c>
      <c r="G498" s="376">
        <f t="shared" si="181"/>
        <v>0.83250000000000002</v>
      </c>
      <c r="H498" s="377"/>
      <c r="I498" s="400"/>
      <c r="J498" s="377"/>
      <c r="K498" s="377"/>
      <c r="L498" s="383"/>
      <c r="M498" s="377"/>
      <c r="N498" s="377"/>
      <c r="O498" s="382"/>
      <c r="P498" s="377"/>
      <c r="Q498" s="377"/>
      <c r="R498" s="377"/>
      <c r="S498" s="377"/>
      <c r="T498" s="377">
        <f t="shared" si="178"/>
        <v>0.83250000000000002</v>
      </c>
      <c r="U498" s="377"/>
      <c r="V498" s="376"/>
      <c r="W498" s="377"/>
      <c r="X498" s="377">
        <f t="shared" si="190"/>
        <v>0.74924999999999997</v>
      </c>
      <c r="Y498" s="222">
        <f t="shared" si="187"/>
        <v>491174.99999999994</v>
      </c>
      <c r="Z498" s="223">
        <f t="shared" si="182"/>
        <v>2947049.9999999995</v>
      </c>
    </row>
    <row r="499" spans="1:26" s="44" customFormat="1" ht="24" customHeight="1">
      <c r="A499" s="86">
        <v>6</v>
      </c>
      <c r="B499" s="77" t="s">
        <v>252</v>
      </c>
      <c r="C499" s="252"/>
      <c r="D499" s="252"/>
      <c r="E499" s="228">
        <f t="shared" si="189"/>
        <v>3.0385</v>
      </c>
      <c r="F499" s="400">
        <v>2.06</v>
      </c>
      <c r="G499" s="376">
        <f t="shared" si="181"/>
        <v>0.51500000000000001</v>
      </c>
      <c r="H499" s="377"/>
      <c r="I499" s="400"/>
      <c r="J499" s="377"/>
      <c r="K499" s="377"/>
      <c r="L499" s="383"/>
      <c r="M499" s="377"/>
      <c r="N499" s="377"/>
      <c r="O499" s="382"/>
      <c r="P499" s="377"/>
      <c r="Q499" s="377"/>
      <c r="R499" s="377"/>
      <c r="S499" s="377"/>
      <c r="T499" s="377">
        <f t="shared" si="178"/>
        <v>0.51500000000000001</v>
      </c>
      <c r="U499" s="377"/>
      <c r="V499" s="376"/>
      <c r="W499" s="377"/>
      <c r="X499" s="377">
        <f t="shared" si="190"/>
        <v>0.46350000000000002</v>
      </c>
      <c r="Y499" s="222">
        <f t="shared" si="187"/>
        <v>303850</v>
      </c>
      <c r="Z499" s="223">
        <f t="shared" si="182"/>
        <v>1823100</v>
      </c>
    </row>
    <row r="500" spans="1:26" s="44" customFormat="1" ht="36" customHeight="1">
      <c r="A500" s="87" t="s">
        <v>4</v>
      </c>
      <c r="B500" s="256" t="s">
        <v>332</v>
      </c>
      <c r="C500" s="257"/>
      <c r="D500" s="257"/>
      <c r="E500" s="258">
        <f>SUM(E501:E502)</f>
        <v>27.7</v>
      </c>
      <c r="F500" s="402">
        <f>SUM(F501:F502)</f>
        <v>27.7</v>
      </c>
      <c r="G500" s="402">
        <f t="shared" ref="G500:Z500" si="191">SUM(G501:G502)</f>
        <v>0</v>
      </c>
      <c r="H500" s="402">
        <f t="shared" si="191"/>
        <v>0</v>
      </c>
      <c r="I500" s="402">
        <f t="shared" si="191"/>
        <v>0</v>
      </c>
      <c r="J500" s="402">
        <f t="shared" si="191"/>
        <v>0</v>
      </c>
      <c r="K500" s="402">
        <f t="shared" si="191"/>
        <v>0</v>
      </c>
      <c r="L500" s="403">
        <f t="shared" si="191"/>
        <v>0</v>
      </c>
      <c r="M500" s="402">
        <f t="shared" si="191"/>
        <v>0</v>
      </c>
      <c r="N500" s="402">
        <f t="shared" si="191"/>
        <v>0</v>
      </c>
      <c r="O500" s="402">
        <f t="shared" si="191"/>
        <v>0</v>
      </c>
      <c r="P500" s="402">
        <f t="shared" si="191"/>
        <v>0</v>
      </c>
      <c r="Q500" s="402">
        <f t="shared" si="191"/>
        <v>0</v>
      </c>
      <c r="R500" s="402">
        <f t="shared" si="191"/>
        <v>0</v>
      </c>
      <c r="S500" s="402">
        <f t="shared" si="191"/>
        <v>0</v>
      </c>
      <c r="T500" s="402">
        <f t="shared" si="191"/>
        <v>0</v>
      </c>
      <c r="U500" s="402">
        <f t="shared" si="191"/>
        <v>0</v>
      </c>
      <c r="V500" s="402">
        <f t="shared" si="191"/>
        <v>0</v>
      </c>
      <c r="W500" s="402">
        <f t="shared" si="191"/>
        <v>0</v>
      </c>
      <c r="X500" s="402">
        <f t="shared" si="191"/>
        <v>0</v>
      </c>
      <c r="Y500" s="259">
        <f t="shared" si="191"/>
        <v>2770000</v>
      </c>
      <c r="Z500" s="259">
        <f t="shared" si="191"/>
        <v>16620000</v>
      </c>
    </row>
    <row r="501" spans="1:26" s="44" customFormat="1" ht="24" customHeight="1">
      <c r="A501" s="88">
        <v>1</v>
      </c>
      <c r="B501" s="260" t="s">
        <v>355</v>
      </c>
      <c r="C501" s="259">
        <v>12</v>
      </c>
      <c r="D501" s="261"/>
      <c r="E501" s="228">
        <f>+F501+G501+X501</f>
        <v>13.7</v>
      </c>
      <c r="F501" s="400">
        <v>13.7</v>
      </c>
      <c r="G501" s="376">
        <f t="shared" ref="G501:G544" si="192">+SUM(H501:W501)</f>
        <v>0</v>
      </c>
      <c r="H501" s="377"/>
      <c r="I501" s="400"/>
      <c r="J501" s="377"/>
      <c r="K501" s="377"/>
      <c r="L501" s="382"/>
      <c r="M501" s="377"/>
      <c r="N501" s="377"/>
      <c r="O501" s="382"/>
      <c r="P501" s="377"/>
      <c r="Q501" s="377"/>
      <c r="R501" s="377"/>
      <c r="S501" s="377"/>
      <c r="T501" s="377"/>
      <c r="U501" s="377"/>
      <c r="V501" s="376"/>
      <c r="W501" s="377"/>
      <c r="X501" s="377"/>
      <c r="Y501" s="222">
        <f t="shared" si="187"/>
        <v>1370000</v>
      </c>
      <c r="Z501" s="223">
        <f t="shared" si="182"/>
        <v>8220000</v>
      </c>
    </row>
    <row r="502" spans="1:26" s="44" customFormat="1" ht="24" customHeight="1">
      <c r="A502" s="85">
        <v>2</v>
      </c>
      <c r="B502" s="251" t="s">
        <v>356</v>
      </c>
      <c r="C502" s="262">
        <v>12</v>
      </c>
      <c r="D502" s="263"/>
      <c r="E502" s="228">
        <f>+F502+G502+X502</f>
        <v>14</v>
      </c>
      <c r="F502" s="400">
        <f>1*5+3*3</f>
        <v>14</v>
      </c>
      <c r="G502" s="376">
        <f t="shared" si="192"/>
        <v>0</v>
      </c>
      <c r="H502" s="377"/>
      <c r="I502" s="400"/>
      <c r="J502" s="377"/>
      <c r="K502" s="377"/>
      <c r="L502" s="382"/>
      <c r="M502" s="377"/>
      <c r="N502" s="377"/>
      <c r="O502" s="382"/>
      <c r="P502" s="377"/>
      <c r="Q502" s="377"/>
      <c r="R502" s="377"/>
      <c r="S502" s="377"/>
      <c r="T502" s="377"/>
      <c r="U502" s="377"/>
      <c r="V502" s="376"/>
      <c r="W502" s="377"/>
      <c r="X502" s="377"/>
      <c r="Y502" s="222">
        <f t="shared" si="187"/>
        <v>1400000</v>
      </c>
      <c r="Z502" s="223">
        <f t="shared" si="182"/>
        <v>8400000</v>
      </c>
    </row>
    <row r="503" spans="1:26" s="44" customFormat="1" ht="24" customHeight="1">
      <c r="A503" s="87" t="s">
        <v>59</v>
      </c>
      <c r="B503" s="254" t="s">
        <v>29</v>
      </c>
      <c r="C503" s="247"/>
      <c r="D503" s="247"/>
      <c r="E503" s="231">
        <f>SUM(E504:E523)</f>
        <v>5.9999999999999982</v>
      </c>
      <c r="F503" s="381">
        <f t="shared" ref="F503:X503" si="193">SUM(F504:F523)</f>
        <v>0</v>
      </c>
      <c r="G503" s="381">
        <f t="shared" si="193"/>
        <v>5.9999999999999982</v>
      </c>
      <c r="H503" s="381">
        <f t="shared" si="193"/>
        <v>0</v>
      </c>
      <c r="I503" s="381">
        <f t="shared" si="193"/>
        <v>0</v>
      </c>
      <c r="J503" s="381">
        <f t="shared" si="193"/>
        <v>0</v>
      </c>
      <c r="K503" s="381">
        <f t="shared" si="193"/>
        <v>0</v>
      </c>
      <c r="L503" s="381">
        <f t="shared" si="193"/>
        <v>0</v>
      </c>
      <c r="M503" s="381">
        <f t="shared" si="193"/>
        <v>0</v>
      </c>
      <c r="N503" s="381">
        <f t="shared" si="193"/>
        <v>0</v>
      </c>
      <c r="O503" s="381">
        <f t="shared" si="193"/>
        <v>5.9999999999999982</v>
      </c>
      <c r="P503" s="381">
        <f t="shared" si="193"/>
        <v>0</v>
      </c>
      <c r="Q503" s="381">
        <f t="shared" si="193"/>
        <v>0</v>
      </c>
      <c r="R503" s="381">
        <f t="shared" si="193"/>
        <v>0</v>
      </c>
      <c r="S503" s="381">
        <f t="shared" si="193"/>
        <v>0</v>
      </c>
      <c r="T503" s="381">
        <f t="shared" si="193"/>
        <v>0</v>
      </c>
      <c r="U503" s="381">
        <f t="shared" si="193"/>
        <v>0</v>
      </c>
      <c r="V503" s="381">
        <f t="shared" si="193"/>
        <v>0</v>
      </c>
      <c r="W503" s="381">
        <f t="shared" si="193"/>
        <v>0</v>
      </c>
      <c r="X503" s="381">
        <f t="shared" si="193"/>
        <v>0</v>
      </c>
      <c r="Y503" s="222">
        <f t="shared" si="187"/>
        <v>599999.99999999977</v>
      </c>
      <c r="Z503" s="223">
        <f t="shared" si="182"/>
        <v>3599999.9999999986</v>
      </c>
    </row>
    <row r="504" spans="1:26" s="44" customFormat="1" ht="24" customHeight="1">
      <c r="A504" s="89">
        <v>1</v>
      </c>
      <c r="B504" s="264" t="s">
        <v>358</v>
      </c>
      <c r="C504" s="257"/>
      <c r="D504" s="257"/>
      <c r="E504" s="228">
        <f t="shared" ref="E504:E523" si="194">+F504+G504+X504</f>
        <v>0.3</v>
      </c>
      <c r="F504" s="404"/>
      <c r="G504" s="376">
        <f t="shared" si="192"/>
        <v>0.3</v>
      </c>
      <c r="H504" s="377"/>
      <c r="I504" s="396"/>
      <c r="J504" s="377"/>
      <c r="K504" s="377"/>
      <c r="L504" s="383"/>
      <c r="M504" s="377"/>
      <c r="N504" s="377"/>
      <c r="O504" s="385">
        <v>0.3</v>
      </c>
      <c r="P504" s="377"/>
      <c r="Q504" s="377"/>
      <c r="R504" s="377"/>
      <c r="S504" s="377"/>
      <c r="T504" s="377">
        <f t="shared" si="178"/>
        <v>0</v>
      </c>
      <c r="U504" s="377"/>
      <c r="V504" s="376"/>
      <c r="W504" s="377"/>
      <c r="X504" s="377">
        <f t="shared" ref="X504:X523" si="195">(F504+I504+J504+K504)*22.5/100</f>
        <v>0</v>
      </c>
      <c r="Y504" s="222">
        <f t="shared" si="187"/>
        <v>30000</v>
      </c>
      <c r="Z504" s="223">
        <f t="shared" si="182"/>
        <v>180000</v>
      </c>
    </row>
    <row r="505" spans="1:26" s="44" customFormat="1" ht="24" customHeight="1">
      <c r="A505" s="89">
        <v>2</v>
      </c>
      <c r="B505" s="264" t="s">
        <v>359</v>
      </c>
      <c r="C505" s="226"/>
      <c r="D505" s="226"/>
      <c r="E505" s="228">
        <f t="shared" si="194"/>
        <v>0.3</v>
      </c>
      <c r="F505" s="385"/>
      <c r="G505" s="376">
        <f t="shared" si="192"/>
        <v>0.3</v>
      </c>
      <c r="H505" s="377"/>
      <c r="I505" s="382"/>
      <c r="J505" s="377"/>
      <c r="K505" s="377"/>
      <c r="L505" s="383"/>
      <c r="M505" s="377"/>
      <c r="N505" s="377"/>
      <c r="O505" s="385">
        <v>0.3</v>
      </c>
      <c r="P505" s="377"/>
      <c r="Q505" s="377"/>
      <c r="R505" s="377"/>
      <c r="S505" s="377"/>
      <c r="T505" s="377">
        <f t="shared" si="178"/>
        <v>0</v>
      </c>
      <c r="U505" s="377"/>
      <c r="V505" s="376"/>
      <c r="W505" s="377"/>
      <c r="X505" s="377">
        <f t="shared" si="195"/>
        <v>0</v>
      </c>
      <c r="Y505" s="222">
        <f t="shared" si="187"/>
        <v>30000</v>
      </c>
      <c r="Z505" s="223">
        <f t="shared" si="182"/>
        <v>180000</v>
      </c>
    </row>
    <row r="506" spans="1:26" s="44" customFormat="1" ht="24" customHeight="1">
      <c r="A506" s="89">
        <v>3</v>
      </c>
      <c r="B506" s="264" t="s">
        <v>360</v>
      </c>
      <c r="C506" s="226"/>
      <c r="D506" s="226"/>
      <c r="E506" s="228">
        <f t="shared" si="194"/>
        <v>0.3</v>
      </c>
      <c r="F506" s="385"/>
      <c r="G506" s="376">
        <f t="shared" si="192"/>
        <v>0.3</v>
      </c>
      <c r="H506" s="377"/>
      <c r="I506" s="382"/>
      <c r="J506" s="377"/>
      <c r="K506" s="377"/>
      <c r="L506" s="383"/>
      <c r="M506" s="377"/>
      <c r="N506" s="377"/>
      <c r="O506" s="385">
        <v>0.3</v>
      </c>
      <c r="P506" s="377"/>
      <c r="Q506" s="377"/>
      <c r="R506" s="377"/>
      <c r="S506" s="377"/>
      <c r="T506" s="377">
        <f t="shared" si="178"/>
        <v>0</v>
      </c>
      <c r="U506" s="377"/>
      <c r="V506" s="376"/>
      <c r="W506" s="377"/>
      <c r="X506" s="377">
        <f t="shared" si="195"/>
        <v>0</v>
      </c>
      <c r="Y506" s="222">
        <f t="shared" si="187"/>
        <v>30000</v>
      </c>
      <c r="Z506" s="223">
        <f t="shared" si="182"/>
        <v>180000</v>
      </c>
    </row>
    <row r="507" spans="1:26" s="44" customFormat="1" ht="24" customHeight="1">
      <c r="A507" s="89">
        <v>4</v>
      </c>
      <c r="B507" s="264" t="s">
        <v>361</v>
      </c>
      <c r="C507" s="226"/>
      <c r="D507" s="226"/>
      <c r="E507" s="228">
        <f t="shared" si="194"/>
        <v>0.3</v>
      </c>
      <c r="F507" s="385"/>
      <c r="G507" s="376">
        <f t="shared" si="192"/>
        <v>0.3</v>
      </c>
      <c r="H507" s="377"/>
      <c r="I507" s="382"/>
      <c r="J507" s="377"/>
      <c r="K507" s="377"/>
      <c r="L507" s="383"/>
      <c r="M507" s="377"/>
      <c r="N507" s="377"/>
      <c r="O507" s="385">
        <v>0.3</v>
      </c>
      <c r="P507" s="377"/>
      <c r="Q507" s="377"/>
      <c r="R507" s="377"/>
      <c r="S507" s="377"/>
      <c r="T507" s="377">
        <f t="shared" si="178"/>
        <v>0</v>
      </c>
      <c r="U507" s="377"/>
      <c r="V507" s="376"/>
      <c r="W507" s="377"/>
      <c r="X507" s="377">
        <f t="shared" si="195"/>
        <v>0</v>
      </c>
      <c r="Y507" s="222">
        <f t="shared" si="187"/>
        <v>30000</v>
      </c>
      <c r="Z507" s="223">
        <f t="shared" si="182"/>
        <v>180000</v>
      </c>
    </row>
    <row r="508" spans="1:26" s="44" customFormat="1" ht="24" customHeight="1">
      <c r="A508" s="89">
        <v>5</v>
      </c>
      <c r="B508" s="264" t="s">
        <v>362</v>
      </c>
      <c r="C508" s="226"/>
      <c r="D508" s="226"/>
      <c r="E508" s="228">
        <f t="shared" si="194"/>
        <v>0.3</v>
      </c>
      <c r="F508" s="385"/>
      <c r="G508" s="376">
        <f t="shared" si="192"/>
        <v>0.3</v>
      </c>
      <c r="H508" s="377"/>
      <c r="I508" s="382"/>
      <c r="J508" s="377"/>
      <c r="K508" s="377"/>
      <c r="L508" s="383"/>
      <c r="M508" s="377"/>
      <c r="N508" s="377"/>
      <c r="O508" s="385">
        <v>0.3</v>
      </c>
      <c r="P508" s="377"/>
      <c r="Q508" s="377"/>
      <c r="R508" s="377"/>
      <c r="S508" s="377"/>
      <c r="T508" s="377">
        <f t="shared" si="178"/>
        <v>0</v>
      </c>
      <c r="U508" s="377"/>
      <c r="V508" s="376"/>
      <c r="W508" s="377"/>
      <c r="X508" s="377">
        <f t="shared" si="195"/>
        <v>0</v>
      </c>
      <c r="Y508" s="222">
        <f t="shared" si="187"/>
        <v>30000</v>
      </c>
      <c r="Z508" s="223">
        <f t="shared" si="182"/>
        <v>180000</v>
      </c>
    </row>
    <row r="509" spans="1:26" s="44" customFormat="1" ht="24" customHeight="1">
      <c r="A509" s="89">
        <v>6</v>
      </c>
      <c r="B509" s="264" t="s">
        <v>363</v>
      </c>
      <c r="C509" s="226"/>
      <c r="D509" s="226"/>
      <c r="E509" s="228">
        <f t="shared" si="194"/>
        <v>0.3</v>
      </c>
      <c r="F509" s="385"/>
      <c r="G509" s="376">
        <f t="shared" si="192"/>
        <v>0.3</v>
      </c>
      <c r="H509" s="377"/>
      <c r="I509" s="382"/>
      <c r="J509" s="377"/>
      <c r="K509" s="377"/>
      <c r="L509" s="383"/>
      <c r="M509" s="377"/>
      <c r="N509" s="377"/>
      <c r="O509" s="385">
        <v>0.3</v>
      </c>
      <c r="P509" s="377"/>
      <c r="Q509" s="377"/>
      <c r="R509" s="377"/>
      <c r="S509" s="377"/>
      <c r="T509" s="377">
        <f t="shared" si="178"/>
        <v>0</v>
      </c>
      <c r="U509" s="377"/>
      <c r="V509" s="376"/>
      <c r="W509" s="377"/>
      <c r="X509" s="377">
        <f t="shared" si="195"/>
        <v>0</v>
      </c>
      <c r="Y509" s="222">
        <f t="shared" si="187"/>
        <v>30000</v>
      </c>
      <c r="Z509" s="223">
        <f t="shared" si="182"/>
        <v>180000</v>
      </c>
    </row>
    <row r="510" spans="1:26" s="44" customFormat="1" ht="24" customHeight="1">
      <c r="A510" s="89">
        <v>7</v>
      </c>
      <c r="B510" s="264" t="s">
        <v>364</v>
      </c>
      <c r="C510" s="226"/>
      <c r="D510" s="226"/>
      <c r="E510" s="228">
        <f t="shared" si="194"/>
        <v>0.3</v>
      </c>
      <c r="F510" s="385"/>
      <c r="G510" s="376">
        <f t="shared" ref="G510:G519" si="196">+SUM(H510:W510)</f>
        <v>0.3</v>
      </c>
      <c r="H510" s="377"/>
      <c r="I510" s="382"/>
      <c r="J510" s="377"/>
      <c r="K510" s="377"/>
      <c r="L510" s="383"/>
      <c r="M510" s="377"/>
      <c r="N510" s="377"/>
      <c r="O510" s="385">
        <v>0.3</v>
      </c>
      <c r="P510" s="377"/>
      <c r="Q510" s="377"/>
      <c r="R510" s="377"/>
      <c r="S510" s="377"/>
      <c r="T510" s="377">
        <f t="shared" si="178"/>
        <v>0</v>
      </c>
      <c r="U510" s="377"/>
      <c r="V510" s="376"/>
      <c r="W510" s="377"/>
      <c r="X510" s="377">
        <f t="shared" si="195"/>
        <v>0</v>
      </c>
      <c r="Y510" s="222">
        <f t="shared" si="187"/>
        <v>30000</v>
      </c>
      <c r="Z510" s="223">
        <f t="shared" si="182"/>
        <v>180000</v>
      </c>
    </row>
    <row r="511" spans="1:26" s="44" customFormat="1" ht="24" customHeight="1">
      <c r="A511" s="89">
        <v>8</v>
      </c>
      <c r="B511" s="264" t="s">
        <v>365</v>
      </c>
      <c r="C511" s="226"/>
      <c r="D511" s="226"/>
      <c r="E511" s="228">
        <f t="shared" si="194"/>
        <v>0.3</v>
      </c>
      <c r="F511" s="385"/>
      <c r="G511" s="376">
        <f t="shared" si="196"/>
        <v>0.3</v>
      </c>
      <c r="H511" s="377"/>
      <c r="I511" s="382"/>
      <c r="J511" s="377"/>
      <c r="K511" s="377"/>
      <c r="L511" s="383"/>
      <c r="M511" s="377"/>
      <c r="N511" s="377"/>
      <c r="O511" s="385">
        <v>0.3</v>
      </c>
      <c r="P511" s="377"/>
      <c r="Q511" s="377"/>
      <c r="R511" s="377"/>
      <c r="S511" s="377"/>
      <c r="T511" s="377">
        <f t="shared" si="178"/>
        <v>0</v>
      </c>
      <c r="U511" s="377"/>
      <c r="V511" s="376"/>
      <c r="W511" s="377"/>
      <c r="X511" s="377">
        <f t="shared" si="195"/>
        <v>0</v>
      </c>
      <c r="Y511" s="222">
        <f t="shared" si="187"/>
        <v>30000</v>
      </c>
      <c r="Z511" s="223">
        <f t="shared" si="182"/>
        <v>180000</v>
      </c>
    </row>
    <row r="512" spans="1:26" s="44" customFormat="1" ht="24" customHeight="1">
      <c r="A512" s="89">
        <v>9</v>
      </c>
      <c r="B512" s="264" t="s">
        <v>366</v>
      </c>
      <c r="C512" s="226"/>
      <c r="D512" s="226"/>
      <c r="E512" s="228">
        <f t="shared" si="194"/>
        <v>0.3</v>
      </c>
      <c r="F512" s="385"/>
      <c r="G512" s="376">
        <f t="shared" si="196"/>
        <v>0.3</v>
      </c>
      <c r="H512" s="377"/>
      <c r="I512" s="382"/>
      <c r="J512" s="377"/>
      <c r="K512" s="377"/>
      <c r="L512" s="383"/>
      <c r="M512" s="377"/>
      <c r="N512" s="377"/>
      <c r="O512" s="385">
        <v>0.3</v>
      </c>
      <c r="P512" s="377"/>
      <c r="Q512" s="377"/>
      <c r="R512" s="377"/>
      <c r="S512" s="377"/>
      <c r="T512" s="377">
        <f t="shared" si="178"/>
        <v>0</v>
      </c>
      <c r="U512" s="377"/>
      <c r="V512" s="376"/>
      <c r="W512" s="377"/>
      <c r="X512" s="377">
        <f t="shared" si="195"/>
        <v>0</v>
      </c>
      <c r="Y512" s="222">
        <f t="shared" si="187"/>
        <v>30000</v>
      </c>
      <c r="Z512" s="223">
        <f t="shared" si="182"/>
        <v>180000</v>
      </c>
    </row>
    <row r="513" spans="1:26" s="44" customFormat="1" ht="24" customHeight="1">
      <c r="A513" s="89">
        <v>10</v>
      </c>
      <c r="B513" s="264" t="s">
        <v>367</v>
      </c>
      <c r="C513" s="226"/>
      <c r="D513" s="226"/>
      <c r="E513" s="228">
        <f t="shared" si="194"/>
        <v>0.3</v>
      </c>
      <c r="F513" s="385"/>
      <c r="G513" s="376">
        <f t="shared" si="196"/>
        <v>0.3</v>
      </c>
      <c r="H513" s="377"/>
      <c r="I513" s="382"/>
      <c r="J513" s="377"/>
      <c r="K513" s="377"/>
      <c r="L513" s="383"/>
      <c r="M513" s="377"/>
      <c r="N513" s="377"/>
      <c r="O513" s="385">
        <v>0.3</v>
      </c>
      <c r="P513" s="377"/>
      <c r="Q513" s="377"/>
      <c r="R513" s="377"/>
      <c r="S513" s="377"/>
      <c r="T513" s="377">
        <f t="shared" si="178"/>
        <v>0</v>
      </c>
      <c r="U513" s="377"/>
      <c r="V513" s="376"/>
      <c r="W513" s="377"/>
      <c r="X513" s="377">
        <f t="shared" si="195"/>
        <v>0</v>
      </c>
      <c r="Y513" s="222">
        <f t="shared" si="187"/>
        <v>30000</v>
      </c>
      <c r="Z513" s="223">
        <f t="shared" si="182"/>
        <v>180000</v>
      </c>
    </row>
    <row r="514" spans="1:26" s="44" customFormat="1" ht="24" customHeight="1">
      <c r="A514" s="89">
        <v>11</v>
      </c>
      <c r="B514" s="264" t="s">
        <v>368</v>
      </c>
      <c r="C514" s="226"/>
      <c r="D514" s="226"/>
      <c r="E514" s="228">
        <f t="shared" si="194"/>
        <v>0.3</v>
      </c>
      <c r="F514" s="385"/>
      <c r="G514" s="376">
        <f t="shared" si="196"/>
        <v>0.3</v>
      </c>
      <c r="H514" s="377"/>
      <c r="I514" s="382"/>
      <c r="J514" s="377"/>
      <c r="K514" s="377"/>
      <c r="L514" s="383"/>
      <c r="M514" s="377"/>
      <c r="N514" s="377"/>
      <c r="O514" s="385">
        <v>0.3</v>
      </c>
      <c r="P514" s="377"/>
      <c r="Q514" s="377"/>
      <c r="R514" s="377"/>
      <c r="S514" s="377"/>
      <c r="T514" s="377">
        <f t="shared" si="178"/>
        <v>0</v>
      </c>
      <c r="U514" s="377"/>
      <c r="V514" s="376"/>
      <c r="W514" s="377"/>
      <c r="X514" s="377">
        <f t="shared" si="195"/>
        <v>0</v>
      </c>
      <c r="Y514" s="222">
        <f t="shared" si="187"/>
        <v>30000</v>
      </c>
      <c r="Z514" s="223">
        <f t="shared" si="182"/>
        <v>180000</v>
      </c>
    </row>
    <row r="515" spans="1:26" s="44" customFormat="1" ht="24" customHeight="1">
      <c r="A515" s="89">
        <v>12</v>
      </c>
      <c r="B515" s="264" t="s">
        <v>369</v>
      </c>
      <c r="C515" s="226"/>
      <c r="D515" s="226"/>
      <c r="E515" s="228">
        <f t="shared" si="194"/>
        <v>0.3</v>
      </c>
      <c r="F515" s="385"/>
      <c r="G515" s="376">
        <f t="shared" si="196"/>
        <v>0.3</v>
      </c>
      <c r="H515" s="377"/>
      <c r="I515" s="382"/>
      <c r="J515" s="377"/>
      <c r="K515" s="377"/>
      <c r="L515" s="383"/>
      <c r="M515" s="377"/>
      <c r="N515" s="377"/>
      <c r="O515" s="385">
        <v>0.3</v>
      </c>
      <c r="P515" s="377"/>
      <c r="Q515" s="377"/>
      <c r="R515" s="377"/>
      <c r="S515" s="377"/>
      <c r="T515" s="377">
        <f t="shared" si="178"/>
        <v>0</v>
      </c>
      <c r="U515" s="377"/>
      <c r="V515" s="376"/>
      <c r="W515" s="377"/>
      <c r="X515" s="377">
        <f t="shared" si="195"/>
        <v>0</v>
      </c>
      <c r="Y515" s="222">
        <f t="shared" si="187"/>
        <v>30000</v>
      </c>
      <c r="Z515" s="223">
        <f t="shared" si="182"/>
        <v>180000</v>
      </c>
    </row>
    <row r="516" spans="1:26" s="44" customFormat="1" ht="24" customHeight="1">
      <c r="A516" s="89">
        <v>13</v>
      </c>
      <c r="B516" s="264" t="s">
        <v>370</v>
      </c>
      <c r="C516" s="226"/>
      <c r="D516" s="226"/>
      <c r="E516" s="228">
        <f t="shared" si="194"/>
        <v>0.3</v>
      </c>
      <c r="F516" s="385"/>
      <c r="G516" s="376">
        <f t="shared" si="196"/>
        <v>0.3</v>
      </c>
      <c r="H516" s="377"/>
      <c r="I516" s="382"/>
      <c r="J516" s="377"/>
      <c r="K516" s="377"/>
      <c r="L516" s="383"/>
      <c r="M516" s="377"/>
      <c r="N516" s="377"/>
      <c r="O516" s="385">
        <v>0.3</v>
      </c>
      <c r="P516" s="377"/>
      <c r="Q516" s="377"/>
      <c r="R516" s="377"/>
      <c r="S516" s="377"/>
      <c r="T516" s="377">
        <f t="shared" si="178"/>
        <v>0</v>
      </c>
      <c r="U516" s="377"/>
      <c r="V516" s="376"/>
      <c r="W516" s="377"/>
      <c r="X516" s="377">
        <f t="shared" si="195"/>
        <v>0</v>
      </c>
      <c r="Y516" s="222">
        <f t="shared" si="187"/>
        <v>30000</v>
      </c>
      <c r="Z516" s="223">
        <f t="shared" si="182"/>
        <v>180000</v>
      </c>
    </row>
    <row r="517" spans="1:26" s="44" customFormat="1" ht="24" customHeight="1">
      <c r="A517" s="89">
        <v>14</v>
      </c>
      <c r="B517" s="264" t="s">
        <v>371</v>
      </c>
      <c r="C517" s="226"/>
      <c r="D517" s="226"/>
      <c r="E517" s="228">
        <f t="shared" si="194"/>
        <v>0.3</v>
      </c>
      <c r="F517" s="385"/>
      <c r="G517" s="376">
        <f t="shared" si="196"/>
        <v>0.3</v>
      </c>
      <c r="H517" s="377"/>
      <c r="I517" s="382"/>
      <c r="J517" s="377"/>
      <c r="K517" s="377"/>
      <c r="L517" s="383"/>
      <c r="M517" s="377"/>
      <c r="N517" s="377"/>
      <c r="O517" s="385">
        <v>0.3</v>
      </c>
      <c r="P517" s="377"/>
      <c r="Q517" s="377"/>
      <c r="R517" s="377"/>
      <c r="S517" s="377"/>
      <c r="T517" s="377">
        <f t="shared" si="178"/>
        <v>0</v>
      </c>
      <c r="U517" s="377"/>
      <c r="V517" s="376"/>
      <c r="W517" s="377"/>
      <c r="X517" s="377">
        <f t="shared" si="195"/>
        <v>0</v>
      </c>
      <c r="Y517" s="222">
        <f t="shared" si="187"/>
        <v>30000</v>
      </c>
      <c r="Z517" s="223">
        <f t="shared" si="182"/>
        <v>180000</v>
      </c>
    </row>
    <row r="518" spans="1:26" s="44" customFormat="1" ht="24" customHeight="1">
      <c r="A518" s="89">
        <v>15</v>
      </c>
      <c r="B518" s="264" t="s">
        <v>372</v>
      </c>
      <c r="C518" s="226"/>
      <c r="D518" s="226"/>
      <c r="E518" s="228">
        <f t="shared" si="194"/>
        <v>0.3</v>
      </c>
      <c r="F518" s="385"/>
      <c r="G518" s="376">
        <f t="shared" si="196"/>
        <v>0.3</v>
      </c>
      <c r="H518" s="377"/>
      <c r="I518" s="382"/>
      <c r="J518" s="377"/>
      <c r="K518" s="377"/>
      <c r="L518" s="383"/>
      <c r="M518" s="377"/>
      <c r="N518" s="377"/>
      <c r="O518" s="385">
        <v>0.3</v>
      </c>
      <c r="P518" s="377"/>
      <c r="Q518" s="377"/>
      <c r="R518" s="377"/>
      <c r="S518" s="377"/>
      <c r="T518" s="377">
        <f t="shared" si="178"/>
        <v>0</v>
      </c>
      <c r="U518" s="377"/>
      <c r="V518" s="376"/>
      <c r="W518" s="377"/>
      <c r="X518" s="377">
        <f t="shared" si="195"/>
        <v>0</v>
      </c>
      <c r="Y518" s="222">
        <f t="shared" si="187"/>
        <v>30000</v>
      </c>
      <c r="Z518" s="223">
        <f t="shared" si="182"/>
        <v>180000</v>
      </c>
    </row>
    <row r="519" spans="1:26" s="44" customFormat="1" ht="24" customHeight="1">
      <c r="A519" s="89">
        <v>16</v>
      </c>
      <c r="B519" s="264" t="s">
        <v>373</v>
      </c>
      <c r="C519" s="226"/>
      <c r="D519" s="226"/>
      <c r="E519" s="228">
        <f t="shared" si="194"/>
        <v>0.3</v>
      </c>
      <c r="F519" s="385"/>
      <c r="G519" s="376">
        <f t="shared" si="196"/>
        <v>0.3</v>
      </c>
      <c r="H519" s="377"/>
      <c r="I519" s="382"/>
      <c r="J519" s="377"/>
      <c r="K519" s="377"/>
      <c r="L519" s="383"/>
      <c r="M519" s="377"/>
      <c r="N519" s="377"/>
      <c r="O519" s="385">
        <v>0.3</v>
      </c>
      <c r="P519" s="377"/>
      <c r="Q519" s="377"/>
      <c r="R519" s="377"/>
      <c r="S519" s="377"/>
      <c r="T519" s="377">
        <f t="shared" si="178"/>
        <v>0</v>
      </c>
      <c r="U519" s="377"/>
      <c r="V519" s="376"/>
      <c r="W519" s="377"/>
      <c r="X519" s="377">
        <f t="shared" si="195"/>
        <v>0</v>
      </c>
      <c r="Y519" s="222">
        <f t="shared" si="187"/>
        <v>30000</v>
      </c>
      <c r="Z519" s="223">
        <f t="shared" si="182"/>
        <v>180000</v>
      </c>
    </row>
    <row r="520" spans="1:26" s="44" customFormat="1" ht="24" customHeight="1">
      <c r="A520" s="89">
        <v>17</v>
      </c>
      <c r="B520" s="264" t="s">
        <v>374</v>
      </c>
      <c r="C520" s="226"/>
      <c r="D520" s="226"/>
      <c r="E520" s="228">
        <f t="shared" si="194"/>
        <v>0.3</v>
      </c>
      <c r="F520" s="385"/>
      <c r="G520" s="376">
        <f>+SUM(H520:W520)</f>
        <v>0.3</v>
      </c>
      <c r="H520" s="377"/>
      <c r="I520" s="382"/>
      <c r="J520" s="377"/>
      <c r="K520" s="377"/>
      <c r="L520" s="383"/>
      <c r="M520" s="377"/>
      <c r="N520" s="377"/>
      <c r="O520" s="385">
        <v>0.3</v>
      </c>
      <c r="P520" s="377"/>
      <c r="Q520" s="377"/>
      <c r="R520" s="377"/>
      <c r="S520" s="377"/>
      <c r="T520" s="377">
        <f>(F520+I520+J520)*25/100</f>
        <v>0</v>
      </c>
      <c r="U520" s="377"/>
      <c r="V520" s="376"/>
      <c r="W520" s="377"/>
      <c r="X520" s="377">
        <f t="shared" si="195"/>
        <v>0</v>
      </c>
      <c r="Y520" s="222">
        <f t="shared" si="187"/>
        <v>30000</v>
      </c>
      <c r="Z520" s="223">
        <f t="shared" si="182"/>
        <v>180000</v>
      </c>
    </row>
    <row r="521" spans="1:26" s="44" customFormat="1" ht="24" customHeight="1">
      <c r="A521" s="89">
        <v>18</v>
      </c>
      <c r="B521" s="260" t="s">
        <v>375</v>
      </c>
      <c r="C521" s="226"/>
      <c r="D521" s="226"/>
      <c r="E521" s="228">
        <f t="shared" si="194"/>
        <v>0.3</v>
      </c>
      <c r="F521" s="385"/>
      <c r="G521" s="376">
        <f>+SUM(H521:W521)</f>
        <v>0.3</v>
      </c>
      <c r="H521" s="377"/>
      <c r="I521" s="382"/>
      <c r="J521" s="377"/>
      <c r="K521" s="377"/>
      <c r="L521" s="383"/>
      <c r="M521" s="377"/>
      <c r="N521" s="377"/>
      <c r="O521" s="385">
        <v>0.3</v>
      </c>
      <c r="P521" s="377"/>
      <c r="Q521" s="377"/>
      <c r="R521" s="377"/>
      <c r="S521" s="377"/>
      <c r="T521" s="377">
        <f>(F521+I521+J521)*25/100</f>
        <v>0</v>
      </c>
      <c r="U521" s="377"/>
      <c r="V521" s="376"/>
      <c r="W521" s="377"/>
      <c r="X521" s="377">
        <f t="shared" si="195"/>
        <v>0</v>
      </c>
      <c r="Y521" s="222">
        <f t="shared" si="187"/>
        <v>30000</v>
      </c>
      <c r="Z521" s="223">
        <f t="shared" si="182"/>
        <v>180000</v>
      </c>
    </row>
    <row r="522" spans="1:26" s="44" customFormat="1" ht="24" customHeight="1">
      <c r="A522" s="89">
        <v>19</v>
      </c>
      <c r="B522" s="264" t="s">
        <v>376</v>
      </c>
      <c r="C522" s="226"/>
      <c r="D522" s="226"/>
      <c r="E522" s="228">
        <f t="shared" si="194"/>
        <v>0.3</v>
      </c>
      <c r="F522" s="385"/>
      <c r="G522" s="376">
        <f>+SUM(H522:W522)</f>
        <v>0.3</v>
      </c>
      <c r="H522" s="377"/>
      <c r="I522" s="382"/>
      <c r="J522" s="377"/>
      <c r="K522" s="377"/>
      <c r="L522" s="383"/>
      <c r="M522" s="377"/>
      <c r="N522" s="377"/>
      <c r="O522" s="385">
        <v>0.3</v>
      </c>
      <c r="P522" s="377"/>
      <c r="Q522" s="377"/>
      <c r="R522" s="377"/>
      <c r="S522" s="377"/>
      <c r="T522" s="377">
        <f>(F522+I522+J522)*25/100</f>
        <v>0</v>
      </c>
      <c r="U522" s="377"/>
      <c r="V522" s="376"/>
      <c r="W522" s="377"/>
      <c r="X522" s="377">
        <f t="shared" si="195"/>
        <v>0</v>
      </c>
      <c r="Y522" s="222">
        <f t="shared" si="187"/>
        <v>30000</v>
      </c>
      <c r="Z522" s="223">
        <f t="shared" si="182"/>
        <v>180000</v>
      </c>
    </row>
    <row r="523" spans="1:26" s="44" customFormat="1" ht="24" customHeight="1">
      <c r="A523" s="89">
        <v>20</v>
      </c>
      <c r="B523" s="264" t="s">
        <v>377</v>
      </c>
      <c r="C523" s="226"/>
      <c r="D523" s="226"/>
      <c r="E523" s="228">
        <f t="shared" si="194"/>
        <v>0.3</v>
      </c>
      <c r="F523" s="385"/>
      <c r="G523" s="376">
        <f>+SUM(H523:W523)</f>
        <v>0.3</v>
      </c>
      <c r="H523" s="377"/>
      <c r="I523" s="382"/>
      <c r="J523" s="377"/>
      <c r="K523" s="377"/>
      <c r="L523" s="383"/>
      <c r="M523" s="377"/>
      <c r="N523" s="377"/>
      <c r="O523" s="385">
        <v>0.3</v>
      </c>
      <c r="P523" s="377"/>
      <c r="Q523" s="377"/>
      <c r="R523" s="377"/>
      <c r="S523" s="377"/>
      <c r="T523" s="377">
        <f>(F523+I523+J523)*25/100</f>
        <v>0</v>
      </c>
      <c r="U523" s="377"/>
      <c r="V523" s="376"/>
      <c r="W523" s="377"/>
      <c r="X523" s="377">
        <f t="shared" si="195"/>
        <v>0</v>
      </c>
      <c r="Y523" s="222">
        <f t="shared" si="187"/>
        <v>30000</v>
      </c>
      <c r="Z523" s="223">
        <f t="shared" si="182"/>
        <v>180000</v>
      </c>
    </row>
    <row r="524" spans="1:26" s="44" customFormat="1" ht="24" customHeight="1">
      <c r="A524" s="87" t="s">
        <v>65</v>
      </c>
      <c r="B524" s="254" t="s">
        <v>357</v>
      </c>
      <c r="C524" s="257"/>
      <c r="D524" s="257"/>
      <c r="E524" s="231">
        <f>SUM(E525:E537)</f>
        <v>3.899999999999999</v>
      </c>
      <c r="F524" s="381">
        <f t="shared" ref="F524:Z524" si="197">SUM(F525:F537)</f>
        <v>0</v>
      </c>
      <c r="G524" s="381">
        <f t="shared" si="197"/>
        <v>3.899999999999999</v>
      </c>
      <c r="H524" s="381">
        <f t="shared" si="197"/>
        <v>0</v>
      </c>
      <c r="I524" s="381">
        <f t="shared" si="197"/>
        <v>0</v>
      </c>
      <c r="J524" s="381">
        <f t="shared" si="197"/>
        <v>0</v>
      </c>
      <c r="K524" s="381">
        <f t="shared" si="197"/>
        <v>0</v>
      </c>
      <c r="L524" s="381">
        <f t="shared" si="197"/>
        <v>0</v>
      </c>
      <c r="M524" s="381">
        <f t="shared" si="197"/>
        <v>0</v>
      </c>
      <c r="N524" s="381">
        <f t="shared" si="197"/>
        <v>3.899999999999999</v>
      </c>
      <c r="O524" s="381">
        <f t="shared" si="197"/>
        <v>0</v>
      </c>
      <c r="P524" s="381">
        <f t="shared" si="197"/>
        <v>0</v>
      </c>
      <c r="Q524" s="381">
        <f t="shared" si="197"/>
        <v>0</v>
      </c>
      <c r="R524" s="381">
        <f t="shared" si="197"/>
        <v>0</v>
      </c>
      <c r="S524" s="381">
        <f t="shared" si="197"/>
        <v>0</v>
      </c>
      <c r="T524" s="381">
        <f t="shared" si="197"/>
        <v>0</v>
      </c>
      <c r="U524" s="381">
        <f t="shared" si="197"/>
        <v>0</v>
      </c>
      <c r="V524" s="381">
        <f t="shared" si="197"/>
        <v>0</v>
      </c>
      <c r="W524" s="381">
        <f t="shared" si="197"/>
        <v>0</v>
      </c>
      <c r="X524" s="381">
        <f t="shared" si="197"/>
        <v>0</v>
      </c>
      <c r="Y524" s="236">
        <f t="shared" si="197"/>
        <v>390000</v>
      </c>
      <c r="Z524" s="236">
        <f t="shared" si="197"/>
        <v>2340000</v>
      </c>
    </row>
    <row r="525" spans="1:26" s="44" customFormat="1" ht="24" customHeight="1">
      <c r="A525" s="89">
        <v>1</v>
      </c>
      <c r="B525" s="265" t="s">
        <v>378</v>
      </c>
      <c r="C525" s="226"/>
      <c r="D525" s="226"/>
      <c r="E525" s="228">
        <f t="shared" ref="E525:E537" si="198">+F525+G525+X525</f>
        <v>0.3</v>
      </c>
      <c r="F525" s="385"/>
      <c r="G525" s="376">
        <f t="shared" si="192"/>
        <v>0.3</v>
      </c>
      <c r="H525" s="377"/>
      <c r="I525" s="382"/>
      <c r="J525" s="377"/>
      <c r="K525" s="377"/>
      <c r="L525" s="383"/>
      <c r="M525" s="377"/>
      <c r="N525" s="385">
        <v>0.3</v>
      </c>
      <c r="O525" s="382"/>
      <c r="P525" s="377"/>
      <c r="Q525" s="377"/>
      <c r="R525" s="377"/>
      <c r="S525" s="377"/>
      <c r="T525" s="377">
        <f t="shared" ref="T525:T588" si="199">(F525+I525+J525)*25/100</f>
        <v>0</v>
      </c>
      <c r="U525" s="377"/>
      <c r="V525" s="376"/>
      <c r="W525" s="377"/>
      <c r="X525" s="377">
        <f t="shared" ref="X525:X537" si="200">(F525+I525+J525+K525)*22.5/100</f>
        <v>0</v>
      </c>
      <c r="Y525" s="222">
        <f t="shared" si="187"/>
        <v>30000</v>
      </c>
      <c r="Z525" s="223">
        <f t="shared" si="182"/>
        <v>180000</v>
      </c>
    </row>
    <row r="526" spans="1:26" s="44" customFormat="1" ht="24" customHeight="1">
      <c r="A526" s="89">
        <v>2</v>
      </c>
      <c r="B526" s="110" t="s">
        <v>375</v>
      </c>
      <c r="C526" s="226"/>
      <c r="D526" s="226"/>
      <c r="E526" s="228">
        <f t="shared" si="198"/>
        <v>0.3</v>
      </c>
      <c r="F526" s="385"/>
      <c r="G526" s="376">
        <f t="shared" si="192"/>
        <v>0.3</v>
      </c>
      <c r="H526" s="377"/>
      <c r="I526" s="382"/>
      <c r="J526" s="377"/>
      <c r="K526" s="377"/>
      <c r="L526" s="383"/>
      <c r="M526" s="377"/>
      <c r="N526" s="385">
        <v>0.3</v>
      </c>
      <c r="O526" s="382"/>
      <c r="P526" s="377"/>
      <c r="Q526" s="377"/>
      <c r="R526" s="377"/>
      <c r="S526" s="377"/>
      <c r="T526" s="377">
        <f t="shared" si="199"/>
        <v>0</v>
      </c>
      <c r="U526" s="377"/>
      <c r="V526" s="376"/>
      <c r="W526" s="377"/>
      <c r="X526" s="377">
        <f t="shared" si="200"/>
        <v>0</v>
      </c>
      <c r="Y526" s="222">
        <f t="shared" si="187"/>
        <v>30000</v>
      </c>
      <c r="Z526" s="223">
        <f t="shared" si="182"/>
        <v>180000</v>
      </c>
    </row>
    <row r="527" spans="1:26" s="44" customFormat="1" ht="24" customHeight="1">
      <c r="A527" s="89">
        <v>3</v>
      </c>
      <c r="B527" s="265" t="s">
        <v>379</v>
      </c>
      <c r="C527" s="226"/>
      <c r="D527" s="226"/>
      <c r="E527" s="228">
        <f t="shared" si="198"/>
        <v>0.3</v>
      </c>
      <c r="F527" s="385"/>
      <c r="G527" s="376">
        <f t="shared" si="192"/>
        <v>0.3</v>
      </c>
      <c r="H527" s="377"/>
      <c r="I527" s="382"/>
      <c r="J527" s="377"/>
      <c r="K527" s="377"/>
      <c r="L527" s="383"/>
      <c r="M527" s="377"/>
      <c r="N527" s="385">
        <v>0.3</v>
      </c>
      <c r="O527" s="382"/>
      <c r="P527" s="377"/>
      <c r="Q527" s="377"/>
      <c r="R527" s="377"/>
      <c r="S527" s="377"/>
      <c r="T527" s="377">
        <f t="shared" si="199"/>
        <v>0</v>
      </c>
      <c r="U527" s="377"/>
      <c r="V527" s="376"/>
      <c r="W527" s="377"/>
      <c r="X527" s="377">
        <f t="shared" si="200"/>
        <v>0</v>
      </c>
      <c r="Y527" s="222">
        <f t="shared" si="187"/>
        <v>30000</v>
      </c>
      <c r="Z527" s="223">
        <f t="shared" si="182"/>
        <v>180000</v>
      </c>
    </row>
    <row r="528" spans="1:26" s="44" customFormat="1" ht="24" customHeight="1">
      <c r="A528" s="89">
        <v>4</v>
      </c>
      <c r="B528" s="265" t="s">
        <v>380</v>
      </c>
      <c r="C528" s="226"/>
      <c r="D528" s="226"/>
      <c r="E528" s="228">
        <f t="shared" si="198"/>
        <v>0.3</v>
      </c>
      <c r="F528" s="385"/>
      <c r="G528" s="376">
        <f t="shared" si="192"/>
        <v>0.3</v>
      </c>
      <c r="H528" s="377"/>
      <c r="I528" s="382"/>
      <c r="J528" s="377"/>
      <c r="K528" s="377"/>
      <c r="L528" s="383"/>
      <c r="M528" s="377"/>
      <c r="N528" s="385">
        <v>0.3</v>
      </c>
      <c r="O528" s="382"/>
      <c r="P528" s="377"/>
      <c r="Q528" s="377"/>
      <c r="R528" s="377"/>
      <c r="S528" s="377"/>
      <c r="T528" s="377">
        <f t="shared" si="199"/>
        <v>0</v>
      </c>
      <c r="U528" s="377"/>
      <c r="V528" s="376"/>
      <c r="W528" s="377"/>
      <c r="X528" s="377">
        <f t="shared" si="200"/>
        <v>0</v>
      </c>
      <c r="Y528" s="222">
        <f t="shared" si="187"/>
        <v>30000</v>
      </c>
      <c r="Z528" s="223">
        <f t="shared" si="182"/>
        <v>180000</v>
      </c>
    </row>
    <row r="529" spans="1:26" s="44" customFormat="1" ht="24" customHeight="1">
      <c r="A529" s="89">
        <v>5</v>
      </c>
      <c r="B529" s="265" t="s">
        <v>381</v>
      </c>
      <c r="C529" s="226"/>
      <c r="D529" s="226"/>
      <c r="E529" s="228">
        <f t="shared" si="198"/>
        <v>0.3</v>
      </c>
      <c r="F529" s="385"/>
      <c r="G529" s="376">
        <f t="shared" si="192"/>
        <v>0.3</v>
      </c>
      <c r="H529" s="377"/>
      <c r="I529" s="382"/>
      <c r="J529" s="377"/>
      <c r="K529" s="377"/>
      <c r="L529" s="383"/>
      <c r="M529" s="377"/>
      <c r="N529" s="385">
        <v>0.3</v>
      </c>
      <c r="O529" s="382"/>
      <c r="P529" s="377"/>
      <c r="Q529" s="377"/>
      <c r="R529" s="377"/>
      <c r="S529" s="377"/>
      <c r="T529" s="377">
        <f t="shared" si="199"/>
        <v>0</v>
      </c>
      <c r="U529" s="377"/>
      <c r="V529" s="376"/>
      <c r="W529" s="377"/>
      <c r="X529" s="377">
        <f t="shared" si="200"/>
        <v>0</v>
      </c>
      <c r="Y529" s="222">
        <f t="shared" si="187"/>
        <v>30000</v>
      </c>
      <c r="Z529" s="223">
        <f t="shared" si="182"/>
        <v>180000</v>
      </c>
    </row>
    <row r="530" spans="1:26" s="44" customFormat="1" ht="24" customHeight="1">
      <c r="A530" s="89">
        <v>6</v>
      </c>
      <c r="B530" s="265" t="s">
        <v>340</v>
      </c>
      <c r="C530" s="226"/>
      <c r="D530" s="226"/>
      <c r="E530" s="228">
        <f t="shared" si="198"/>
        <v>0.3</v>
      </c>
      <c r="F530" s="385"/>
      <c r="G530" s="376">
        <f t="shared" si="192"/>
        <v>0.3</v>
      </c>
      <c r="H530" s="377"/>
      <c r="I530" s="382"/>
      <c r="J530" s="377"/>
      <c r="K530" s="377"/>
      <c r="L530" s="383"/>
      <c r="M530" s="377"/>
      <c r="N530" s="385">
        <v>0.3</v>
      </c>
      <c r="O530" s="382"/>
      <c r="P530" s="377"/>
      <c r="Q530" s="377"/>
      <c r="R530" s="377"/>
      <c r="S530" s="377"/>
      <c r="T530" s="377">
        <f t="shared" si="199"/>
        <v>0</v>
      </c>
      <c r="U530" s="377"/>
      <c r="V530" s="376"/>
      <c r="W530" s="377"/>
      <c r="X530" s="377">
        <f t="shared" si="200"/>
        <v>0</v>
      </c>
      <c r="Y530" s="222">
        <f t="shared" si="187"/>
        <v>30000</v>
      </c>
      <c r="Z530" s="223">
        <f t="shared" si="182"/>
        <v>180000</v>
      </c>
    </row>
    <row r="531" spans="1:26" s="44" customFormat="1" ht="24" customHeight="1">
      <c r="A531" s="89">
        <v>7</v>
      </c>
      <c r="B531" s="265" t="s">
        <v>341</v>
      </c>
      <c r="C531" s="226"/>
      <c r="D531" s="226"/>
      <c r="E531" s="228">
        <f t="shared" si="198"/>
        <v>0.3</v>
      </c>
      <c r="F531" s="385"/>
      <c r="G531" s="376">
        <f t="shared" si="192"/>
        <v>0.3</v>
      </c>
      <c r="H531" s="377"/>
      <c r="I531" s="382"/>
      <c r="J531" s="377"/>
      <c r="K531" s="377"/>
      <c r="L531" s="383"/>
      <c r="M531" s="377"/>
      <c r="N531" s="385">
        <v>0.3</v>
      </c>
      <c r="O531" s="382"/>
      <c r="P531" s="377"/>
      <c r="Q531" s="377"/>
      <c r="R531" s="377"/>
      <c r="S531" s="377"/>
      <c r="T531" s="377">
        <f t="shared" si="199"/>
        <v>0</v>
      </c>
      <c r="U531" s="377"/>
      <c r="V531" s="376"/>
      <c r="W531" s="377"/>
      <c r="X531" s="377">
        <f t="shared" si="200"/>
        <v>0</v>
      </c>
      <c r="Y531" s="222">
        <f t="shared" si="187"/>
        <v>30000</v>
      </c>
      <c r="Z531" s="223">
        <f t="shared" si="182"/>
        <v>180000</v>
      </c>
    </row>
    <row r="532" spans="1:26" s="44" customFormat="1" ht="24" customHeight="1">
      <c r="A532" s="89">
        <v>8</v>
      </c>
      <c r="B532" s="265" t="s">
        <v>382</v>
      </c>
      <c r="C532" s="226"/>
      <c r="D532" s="226"/>
      <c r="E532" s="228">
        <f t="shared" si="198"/>
        <v>0.3</v>
      </c>
      <c r="F532" s="385"/>
      <c r="G532" s="376">
        <f t="shared" si="192"/>
        <v>0.3</v>
      </c>
      <c r="H532" s="377"/>
      <c r="I532" s="382"/>
      <c r="J532" s="377"/>
      <c r="K532" s="377"/>
      <c r="L532" s="383"/>
      <c r="M532" s="377"/>
      <c r="N532" s="385">
        <v>0.3</v>
      </c>
      <c r="O532" s="382"/>
      <c r="P532" s="377"/>
      <c r="Q532" s="377"/>
      <c r="R532" s="377"/>
      <c r="S532" s="377"/>
      <c r="T532" s="377">
        <f t="shared" si="199"/>
        <v>0</v>
      </c>
      <c r="U532" s="377"/>
      <c r="V532" s="376"/>
      <c r="W532" s="377"/>
      <c r="X532" s="377">
        <f t="shared" si="200"/>
        <v>0</v>
      </c>
      <c r="Y532" s="222">
        <f t="shared" si="187"/>
        <v>30000</v>
      </c>
      <c r="Z532" s="223">
        <f t="shared" si="182"/>
        <v>180000</v>
      </c>
    </row>
    <row r="533" spans="1:26" s="44" customFormat="1" ht="24" customHeight="1">
      <c r="A533" s="89">
        <v>9</v>
      </c>
      <c r="B533" s="265" t="s">
        <v>376</v>
      </c>
      <c r="C533" s="226"/>
      <c r="D533" s="226"/>
      <c r="E533" s="228">
        <f t="shared" si="198"/>
        <v>0.3</v>
      </c>
      <c r="F533" s="385"/>
      <c r="G533" s="376">
        <f t="shared" si="192"/>
        <v>0.3</v>
      </c>
      <c r="H533" s="377"/>
      <c r="I533" s="382"/>
      <c r="J533" s="377"/>
      <c r="K533" s="377"/>
      <c r="L533" s="383"/>
      <c r="M533" s="377"/>
      <c r="N533" s="385">
        <v>0.3</v>
      </c>
      <c r="O533" s="382"/>
      <c r="P533" s="377"/>
      <c r="Q533" s="377"/>
      <c r="R533" s="377"/>
      <c r="S533" s="377"/>
      <c r="T533" s="377">
        <f t="shared" si="199"/>
        <v>0</v>
      </c>
      <c r="U533" s="377"/>
      <c r="V533" s="376"/>
      <c r="W533" s="377"/>
      <c r="X533" s="377">
        <f t="shared" si="200"/>
        <v>0</v>
      </c>
      <c r="Y533" s="222">
        <f t="shared" si="187"/>
        <v>30000</v>
      </c>
      <c r="Z533" s="223">
        <f t="shared" si="182"/>
        <v>180000</v>
      </c>
    </row>
    <row r="534" spans="1:26" s="44" customFormat="1" ht="24" customHeight="1">
      <c r="A534" s="89">
        <v>10</v>
      </c>
      <c r="B534" s="265" t="s">
        <v>383</v>
      </c>
      <c r="C534" s="226"/>
      <c r="D534" s="226"/>
      <c r="E534" s="228">
        <f t="shared" si="198"/>
        <v>0.3</v>
      </c>
      <c r="F534" s="385"/>
      <c r="G534" s="376">
        <f t="shared" si="192"/>
        <v>0.3</v>
      </c>
      <c r="H534" s="377"/>
      <c r="I534" s="382"/>
      <c r="J534" s="377"/>
      <c r="K534" s="377"/>
      <c r="L534" s="383"/>
      <c r="M534" s="377"/>
      <c r="N534" s="385">
        <v>0.3</v>
      </c>
      <c r="O534" s="382"/>
      <c r="P534" s="377"/>
      <c r="Q534" s="377"/>
      <c r="R534" s="377"/>
      <c r="S534" s="377"/>
      <c r="T534" s="377">
        <f t="shared" si="199"/>
        <v>0</v>
      </c>
      <c r="U534" s="377"/>
      <c r="V534" s="376"/>
      <c r="W534" s="377"/>
      <c r="X534" s="377">
        <f t="shared" si="200"/>
        <v>0</v>
      </c>
      <c r="Y534" s="222">
        <f t="shared" si="187"/>
        <v>30000</v>
      </c>
      <c r="Z534" s="223">
        <f t="shared" si="182"/>
        <v>180000</v>
      </c>
    </row>
    <row r="535" spans="1:26" s="44" customFormat="1" ht="24" customHeight="1">
      <c r="A535" s="89">
        <v>11</v>
      </c>
      <c r="B535" s="265" t="s">
        <v>345</v>
      </c>
      <c r="C535" s="226"/>
      <c r="D535" s="226"/>
      <c r="E535" s="228">
        <f t="shared" si="198"/>
        <v>0.3</v>
      </c>
      <c r="F535" s="385"/>
      <c r="G535" s="376">
        <f t="shared" si="192"/>
        <v>0.3</v>
      </c>
      <c r="H535" s="377"/>
      <c r="I535" s="382"/>
      <c r="J535" s="377"/>
      <c r="K535" s="377"/>
      <c r="L535" s="383"/>
      <c r="M535" s="377"/>
      <c r="N535" s="385">
        <v>0.3</v>
      </c>
      <c r="O535" s="382"/>
      <c r="P535" s="377"/>
      <c r="Q535" s="377"/>
      <c r="R535" s="377"/>
      <c r="S535" s="377"/>
      <c r="T535" s="377">
        <f t="shared" si="199"/>
        <v>0</v>
      </c>
      <c r="U535" s="377"/>
      <c r="V535" s="376"/>
      <c r="W535" s="377"/>
      <c r="X535" s="377">
        <f t="shared" si="200"/>
        <v>0</v>
      </c>
      <c r="Y535" s="222">
        <f t="shared" si="187"/>
        <v>30000</v>
      </c>
      <c r="Z535" s="223">
        <f t="shared" si="182"/>
        <v>180000</v>
      </c>
    </row>
    <row r="536" spans="1:26" s="44" customFormat="1" ht="24" customHeight="1">
      <c r="A536" s="89">
        <v>12</v>
      </c>
      <c r="B536" s="265" t="s">
        <v>377</v>
      </c>
      <c r="C536" s="226"/>
      <c r="D536" s="226"/>
      <c r="E536" s="228">
        <f t="shared" si="198"/>
        <v>0.3</v>
      </c>
      <c r="F536" s="385"/>
      <c r="G536" s="376">
        <f t="shared" si="192"/>
        <v>0.3</v>
      </c>
      <c r="H536" s="377"/>
      <c r="I536" s="382"/>
      <c r="J536" s="377"/>
      <c r="K536" s="377"/>
      <c r="L536" s="383"/>
      <c r="M536" s="377"/>
      <c r="N536" s="385">
        <v>0.3</v>
      </c>
      <c r="O536" s="382"/>
      <c r="P536" s="377"/>
      <c r="Q536" s="377"/>
      <c r="R536" s="377"/>
      <c r="S536" s="377"/>
      <c r="T536" s="377">
        <f t="shared" si="199"/>
        <v>0</v>
      </c>
      <c r="U536" s="377"/>
      <c r="V536" s="376"/>
      <c r="W536" s="377"/>
      <c r="X536" s="377">
        <f t="shared" si="200"/>
        <v>0</v>
      </c>
      <c r="Y536" s="222">
        <f t="shared" si="187"/>
        <v>30000</v>
      </c>
      <c r="Z536" s="223">
        <f t="shared" si="182"/>
        <v>180000</v>
      </c>
    </row>
    <row r="537" spans="1:26" s="44" customFormat="1" ht="24" customHeight="1">
      <c r="A537" s="89">
        <v>13</v>
      </c>
      <c r="B537" s="265" t="s">
        <v>343</v>
      </c>
      <c r="C537" s="226"/>
      <c r="D537" s="226"/>
      <c r="E537" s="228">
        <f t="shared" si="198"/>
        <v>0.3</v>
      </c>
      <c r="F537" s="385"/>
      <c r="G537" s="376">
        <f t="shared" si="192"/>
        <v>0.3</v>
      </c>
      <c r="H537" s="377"/>
      <c r="I537" s="382"/>
      <c r="J537" s="377"/>
      <c r="K537" s="377"/>
      <c r="L537" s="383"/>
      <c r="M537" s="377"/>
      <c r="N537" s="385">
        <v>0.3</v>
      </c>
      <c r="O537" s="382"/>
      <c r="P537" s="377"/>
      <c r="Q537" s="377"/>
      <c r="R537" s="377"/>
      <c r="S537" s="377"/>
      <c r="T537" s="377">
        <f t="shared" si="199"/>
        <v>0</v>
      </c>
      <c r="U537" s="377"/>
      <c r="V537" s="376"/>
      <c r="W537" s="377"/>
      <c r="X537" s="377">
        <f t="shared" si="200"/>
        <v>0</v>
      </c>
      <c r="Y537" s="222">
        <f t="shared" si="187"/>
        <v>30000</v>
      </c>
      <c r="Z537" s="223">
        <f t="shared" si="182"/>
        <v>180000</v>
      </c>
    </row>
    <row r="538" spans="1:26" s="44" customFormat="1" ht="24" customHeight="1">
      <c r="A538" s="80" t="s">
        <v>613</v>
      </c>
      <c r="B538" s="45" t="s">
        <v>384</v>
      </c>
      <c r="C538" s="229">
        <v>21</v>
      </c>
      <c r="D538" s="229">
        <v>18</v>
      </c>
      <c r="E538" s="231">
        <f t="shared" ref="E538:Z538" si="201">E539+E548+E559+E562+E574</f>
        <v>114.10049999999998</v>
      </c>
      <c r="F538" s="381">
        <f t="shared" si="201"/>
        <v>71.84</v>
      </c>
      <c r="G538" s="381">
        <f t="shared" si="201"/>
        <v>30.888999999999996</v>
      </c>
      <c r="H538" s="381">
        <f t="shared" si="201"/>
        <v>3.5999999999999996</v>
      </c>
      <c r="I538" s="381">
        <f t="shared" si="201"/>
        <v>1.4000000000000001</v>
      </c>
      <c r="J538" s="381">
        <f t="shared" si="201"/>
        <v>0</v>
      </c>
      <c r="K538" s="381">
        <f t="shared" si="201"/>
        <v>0</v>
      </c>
      <c r="L538" s="381">
        <f t="shared" si="201"/>
        <v>2.3540000000000001</v>
      </c>
      <c r="M538" s="381">
        <f t="shared" si="201"/>
        <v>0</v>
      </c>
      <c r="N538" s="381">
        <f t="shared" si="201"/>
        <v>3.2999999999999994</v>
      </c>
      <c r="O538" s="381">
        <f t="shared" si="201"/>
        <v>7.4999999999999973</v>
      </c>
      <c r="P538" s="381">
        <f t="shared" si="201"/>
        <v>0</v>
      </c>
      <c r="Q538" s="381">
        <f t="shared" si="201"/>
        <v>0</v>
      </c>
      <c r="R538" s="381">
        <f t="shared" si="201"/>
        <v>0</v>
      </c>
      <c r="S538" s="381">
        <f t="shared" si="201"/>
        <v>0</v>
      </c>
      <c r="T538" s="381">
        <f t="shared" si="201"/>
        <v>12.635</v>
      </c>
      <c r="U538" s="381">
        <f t="shared" si="201"/>
        <v>0</v>
      </c>
      <c r="V538" s="381">
        <f t="shared" si="201"/>
        <v>0.1</v>
      </c>
      <c r="W538" s="381">
        <f t="shared" si="201"/>
        <v>0</v>
      </c>
      <c r="X538" s="381">
        <f t="shared" si="201"/>
        <v>11.371499999999999</v>
      </c>
      <c r="Y538" s="232">
        <f t="shared" si="201"/>
        <v>11410050</v>
      </c>
      <c r="Z538" s="232">
        <f t="shared" si="201"/>
        <v>68460300</v>
      </c>
    </row>
    <row r="539" spans="1:26" s="44" customFormat="1" ht="24" customHeight="1">
      <c r="A539" s="80" t="s">
        <v>2</v>
      </c>
      <c r="B539" s="45" t="s">
        <v>138</v>
      </c>
      <c r="C539" s="229"/>
      <c r="D539" s="229"/>
      <c r="E539" s="266">
        <f t="shared" ref="E539:X539" si="202">SUM(E540:E547)</f>
        <v>36.47775</v>
      </c>
      <c r="F539" s="405">
        <f t="shared" si="202"/>
        <v>20.65</v>
      </c>
      <c r="G539" s="405">
        <f t="shared" si="202"/>
        <v>10.8665</v>
      </c>
      <c r="H539" s="405">
        <f t="shared" si="202"/>
        <v>1.5999999999999999</v>
      </c>
      <c r="I539" s="405">
        <f t="shared" si="202"/>
        <v>1.4000000000000001</v>
      </c>
      <c r="J539" s="405">
        <f t="shared" si="202"/>
        <v>0</v>
      </c>
      <c r="K539" s="405">
        <f t="shared" si="202"/>
        <v>0</v>
      </c>
      <c r="L539" s="405">
        <f t="shared" si="202"/>
        <v>2.3540000000000001</v>
      </c>
      <c r="M539" s="405">
        <f t="shared" si="202"/>
        <v>0</v>
      </c>
      <c r="N539" s="405">
        <f t="shared" si="202"/>
        <v>0</v>
      </c>
      <c r="O539" s="405">
        <f t="shared" si="202"/>
        <v>0</v>
      </c>
      <c r="P539" s="405">
        <f t="shared" si="202"/>
        <v>0</v>
      </c>
      <c r="Q539" s="405">
        <f t="shared" si="202"/>
        <v>0</v>
      </c>
      <c r="R539" s="405">
        <f t="shared" si="202"/>
        <v>0</v>
      </c>
      <c r="S539" s="405">
        <f t="shared" si="202"/>
        <v>0</v>
      </c>
      <c r="T539" s="405">
        <f t="shared" si="202"/>
        <v>5.5125000000000002</v>
      </c>
      <c r="U539" s="405">
        <f t="shared" si="202"/>
        <v>0</v>
      </c>
      <c r="V539" s="405">
        <f t="shared" si="202"/>
        <v>0</v>
      </c>
      <c r="W539" s="405">
        <f t="shared" si="202"/>
        <v>0</v>
      </c>
      <c r="X539" s="405">
        <f t="shared" si="202"/>
        <v>4.9612499999999997</v>
      </c>
      <c r="Y539" s="267">
        <f>SUM(Y540:Y547)</f>
        <v>3647775</v>
      </c>
      <c r="Z539" s="267">
        <f>SUM(Z540:Z547)</f>
        <v>21886650</v>
      </c>
    </row>
    <row r="540" spans="1:26" s="44" customFormat="1" ht="24" customHeight="1">
      <c r="A540" s="79">
        <v>1</v>
      </c>
      <c r="B540" s="66" t="s">
        <v>256</v>
      </c>
      <c r="C540" s="226"/>
      <c r="D540" s="226"/>
      <c r="E540" s="228">
        <f t="shared" ref="E540:E547" si="203">+F540+G540+X540</f>
        <v>4.0202499999999999</v>
      </c>
      <c r="F540" s="401">
        <v>2.34</v>
      </c>
      <c r="G540" s="406">
        <f t="shared" si="192"/>
        <v>1.0974999999999999</v>
      </c>
      <c r="H540" s="401">
        <v>0.2</v>
      </c>
      <c r="I540" s="401">
        <v>0.25</v>
      </c>
      <c r="J540" s="388"/>
      <c r="K540" s="377"/>
      <c r="L540" s="383"/>
      <c r="M540" s="377"/>
      <c r="N540" s="377"/>
      <c r="O540" s="382"/>
      <c r="P540" s="377"/>
      <c r="Q540" s="377"/>
      <c r="R540" s="377"/>
      <c r="S540" s="377"/>
      <c r="T540" s="377">
        <f t="shared" si="199"/>
        <v>0.64749999999999996</v>
      </c>
      <c r="U540" s="377"/>
      <c r="V540" s="376"/>
      <c r="W540" s="377"/>
      <c r="X540" s="377">
        <f t="shared" ref="X540:X547" si="204">(F540+I540+J540+K540)*22.5/100</f>
        <v>0.58274999999999999</v>
      </c>
      <c r="Y540" s="222">
        <f t="shared" si="187"/>
        <v>402025</v>
      </c>
      <c r="Z540" s="223">
        <f t="shared" ref="Z540:Z599" si="205">Y540*6</f>
        <v>2412150</v>
      </c>
    </row>
    <row r="541" spans="1:26" s="44" customFormat="1" ht="24" customHeight="1">
      <c r="A541" s="79">
        <v>2</v>
      </c>
      <c r="B541" s="66" t="s">
        <v>271</v>
      </c>
      <c r="C541" s="226"/>
      <c r="D541" s="226"/>
      <c r="E541" s="228">
        <f t="shared" si="203"/>
        <v>4.4332500000000001</v>
      </c>
      <c r="F541" s="401">
        <v>2.67</v>
      </c>
      <c r="G541" s="406">
        <f t="shared" si="192"/>
        <v>1.1175000000000002</v>
      </c>
      <c r="H541" s="401">
        <v>0.2</v>
      </c>
      <c r="I541" s="401">
        <v>0.2</v>
      </c>
      <c r="J541" s="388"/>
      <c r="K541" s="377"/>
      <c r="L541" s="383"/>
      <c r="M541" s="377"/>
      <c r="N541" s="377"/>
      <c r="O541" s="382"/>
      <c r="P541" s="377"/>
      <c r="Q541" s="377"/>
      <c r="R541" s="377"/>
      <c r="S541" s="377"/>
      <c r="T541" s="377">
        <f t="shared" si="199"/>
        <v>0.71750000000000003</v>
      </c>
      <c r="U541" s="377"/>
      <c r="V541" s="376"/>
      <c r="W541" s="377"/>
      <c r="X541" s="377">
        <f t="shared" si="204"/>
        <v>0.64575000000000005</v>
      </c>
      <c r="Y541" s="222">
        <f t="shared" si="187"/>
        <v>443325</v>
      </c>
      <c r="Z541" s="223">
        <f t="shared" si="205"/>
        <v>2659950</v>
      </c>
    </row>
    <row r="542" spans="1:26" s="44" customFormat="1" ht="24" customHeight="1">
      <c r="A542" s="79">
        <v>3</v>
      </c>
      <c r="B542" s="66" t="s">
        <v>385</v>
      </c>
      <c r="C542" s="226"/>
      <c r="D542" s="226"/>
      <c r="E542" s="228">
        <f t="shared" si="203"/>
        <v>5.4067499999999997</v>
      </c>
      <c r="F542" s="401">
        <v>3.33</v>
      </c>
      <c r="G542" s="406">
        <f t="shared" si="192"/>
        <v>1.2825</v>
      </c>
      <c r="H542" s="401">
        <v>0.2</v>
      </c>
      <c r="I542" s="401">
        <v>0.2</v>
      </c>
      <c r="J542" s="388"/>
      <c r="K542" s="377"/>
      <c r="L542" s="383"/>
      <c r="M542" s="377"/>
      <c r="N542" s="377"/>
      <c r="O542" s="382"/>
      <c r="P542" s="377"/>
      <c r="Q542" s="377"/>
      <c r="R542" s="377"/>
      <c r="S542" s="377"/>
      <c r="T542" s="377">
        <f t="shared" si="199"/>
        <v>0.88249999999999995</v>
      </c>
      <c r="U542" s="377"/>
      <c r="V542" s="376"/>
      <c r="W542" s="377"/>
      <c r="X542" s="377">
        <f t="shared" si="204"/>
        <v>0.79425000000000012</v>
      </c>
      <c r="Y542" s="222">
        <f t="shared" si="187"/>
        <v>540675</v>
      </c>
      <c r="Z542" s="223">
        <f t="shared" si="205"/>
        <v>3244050</v>
      </c>
    </row>
    <row r="543" spans="1:26" s="44" customFormat="1" ht="24" customHeight="1">
      <c r="A543" s="79">
        <v>4</v>
      </c>
      <c r="B543" s="66" t="s">
        <v>386</v>
      </c>
      <c r="C543" s="226"/>
      <c r="D543" s="226"/>
      <c r="E543" s="228">
        <f t="shared" si="203"/>
        <v>4.0470499999999996</v>
      </c>
      <c r="F543" s="401">
        <v>2.34</v>
      </c>
      <c r="G543" s="406">
        <f t="shared" si="192"/>
        <v>1.1467999999999998</v>
      </c>
      <c r="H543" s="401">
        <v>0.2</v>
      </c>
      <c r="I543" s="401">
        <v>0.15</v>
      </c>
      <c r="J543" s="388"/>
      <c r="K543" s="377"/>
      <c r="L543" s="385">
        <f>(F543+I543)*7%</f>
        <v>0.17430000000000001</v>
      </c>
      <c r="M543" s="377"/>
      <c r="N543" s="377"/>
      <c r="O543" s="382"/>
      <c r="P543" s="377"/>
      <c r="Q543" s="377"/>
      <c r="R543" s="377"/>
      <c r="S543" s="377"/>
      <c r="T543" s="377">
        <f t="shared" si="199"/>
        <v>0.62249999999999994</v>
      </c>
      <c r="U543" s="377"/>
      <c r="V543" s="376"/>
      <c r="W543" s="377"/>
      <c r="X543" s="377">
        <f t="shared" si="204"/>
        <v>0.56024999999999991</v>
      </c>
      <c r="Y543" s="222">
        <f t="shared" si="187"/>
        <v>404704.99999999994</v>
      </c>
      <c r="Z543" s="223">
        <f t="shared" si="205"/>
        <v>2428229.9999999995</v>
      </c>
    </row>
    <row r="544" spans="1:26" s="44" customFormat="1" ht="24" customHeight="1">
      <c r="A544" s="79">
        <v>5</v>
      </c>
      <c r="B544" s="66" t="s">
        <v>387</v>
      </c>
      <c r="C544" s="226"/>
      <c r="D544" s="226"/>
      <c r="E544" s="228">
        <f t="shared" si="203"/>
        <v>3.9234499999999999</v>
      </c>
      <c r="F544" s="401">
        <v>2.2599999999999998</v>
      </c>
      <c r="G544" s="406">
        <f t="shared" si="192"/>
        <v>1.1212</v>
      </c>
      <c r="H544" s="401">
        <v>0.2</v>
      </c>
      <c r="I544" s="401">
        <v>0.15</v>
      </c>
      <c r="J544" s="388"/>
      <c r="K544" s="377"/>
      <c r="L544" s="385">
        <f>(F544+I544)*7%</f>
        <v>0.16869999999999999</v>
      </c>
      <c r="M544" s="377"/>
      <c r="N544" s="377"/>
      <c r="O544" s="382"/>
      <c r="P544" s="377"/>
      <c r="Q544" s="377"/>
      <c r="R544" s="377"/>
      <c r="S544" s="377"/>
      <c r="T544" s="377">
        <f t="shared" si="199"/>
        <v>0.60249999999999992</v>
      </c>
      <c r="U544" s="377"/>
      <c r="V544" s="376"/>
      <c r="W544" s="377"/>
      <c r="X544" s="377">
        <f t="shared" si="204"/>
        <v>0.5422499999999999</v>
      </c>
      <c r="Y544" s="222">
        <f t="shared" si="187"/>
        <v>392345</v>
      </c>
      <c r="Z544" s="223">
        <f t="shared" si="205"/>
        <v>2354070</v>
      </c>
    </row>
    <row r="545" spans="1:26" s="44" customFormat="1" ht="24" customHeight="1">
      <c r="A545" s="79">
        <v>6</v>
      </c>
      <c r="B545" s="66" t="s">
        <v>383</v>
      </c>
      <c r="C545" s="226"/>
      <c r="D545" s="226"/>
      <c r="E545" s="228">
        <f t="shared" si="203"/>
        <v>4.3107499999999996</v>
      </c>
      <c r="F545" s="401">
        <v>2.46</v>
      </c>
      <c r="G545" s="406">
        <f t="shared" ref="G545:G608" si="206">+SUM(H545:W545)</f>
        <v>1.2635000000000001</v>
      </c>
      <c r="H545" s="401">
        <v>0.2</v>
      </c>
      <c r="I545" s="401">
        <v>0.15</v>
      </c>
      <c r="J545" s="388"/>
      <c r="K545" s="377"/>
      <c r="L545" s="385">
        <f>(F545+I545)*10%</f>
        <v>0.26100000000000001</v>
      </c>
      <c r="M545" s="377"/>
      <c r="N545" s="377"/>
      <c r="O545" s="382"/>
      <c r="P545" s="377"/>
      <c r="Q545" s="377"/>
      <c r="R545" s="377"/>
      <c r="S545" s="377"/>
      <c r="T545" s="377">
        <f t="shared" si="199"/>
        <v>0.65249999999999997</v>
      </c>
      <c r="U545" s="377"/>
      <c r="V545" s="376"/>
      <c r="W545" s="377"/>
      <c r="X545" s="377">
        <f t="shared" si="204"/>
        <v>0.58724999999999994</v>
      </c>
      <c r="Y545" s="222">
        <f t="shared" si="187"/>
        <v>431074.99999999994</v>
      </c>
      <c r="Z545" s="223">
        <f t="shared" si="205"/>
        <v>2586449.9999999995</v>
      </c>
    </row>
    <row r="546" spans="1:26" s="44" customFormat="1" ht="24" customHeight="1">
      <c r="A546" s="79">
        <v>7</v>
      </c>
      <c r="B546" s="66" t="s">
        <v>388</v>
      </c>
      <c r="C546" s="226"/>
      <c r="D546" s="226"/>
      <c r="E546" s="228">
        <f t="shared" si="203"/>
        <v>3.5187500000000003</v>
      </c>
      <c r="F546" s="401">
        <v>2.25</v>
      </c>
      <c r="G546" s="406">
        <f t="shared" si="206"/>
        <v>0.76249999999999996</v>
      </c>
      <c r="H546" s="401">
        <v>0.2</v>
      </c>
      <c r="I546" s="401"/>
      <c r="J546" s="388"/>
      <c r="K546" s="377"/>
      <c r="L546" s="383"/>
      <c r="M546" s="377"/>
      <c r="N546" s="377"/>
      <c r="O546" s="382"/>
      <c r="P546" s="377"/>
      <c r="Q546" s="377"/>
      <c r="R546" s="377"/>
      <c r="S546" s="377"/>
      <c r="T546" s="377">
        <f t="shared" si="199"/>
        <v>0.5625</v>
      </c>
      <c r="U546" s="377"/>
      <c r="V546" s="376"/>
      <c r="W546" s="377"/>
      <c r="X546" s="377">
        <f t="shared" si="204"/>
        <v>0.50624999999999998</v>
      </c>
      <c r="Y546" s="222">
        <f t="shared" si="187"/>
        <v>351875</v>
      </c>
      <c r="Z546" s="223">
        <f t="shared" si="205"/>
        <v>2111250</v>
      </c>
    </row>
    <row r="547" spans="1:26" s="44" customFormat="1" ht="24" customHeight="1">
      <c r="A547" s="79">
        <v>8</v>
      </c>
      <c r="B547" s="66" t="s">
        <v>250</v>
      </c>
      <c r="C547" s="226"/>
      <c r="D547" s="226"/>
      <c r="E547" s="228">
        <f t="shared" si="203"/>
        <v>6.8174999999999999</v>
      </c>
      <c r="F547" s="401">
        <v>3</v>
      </c>
      <c r="G547" s="406">
        <f t="shared" si="206"/>
        <v>3.0750000000000002</v>
      </c>
      <c r="H547" s="401">
        <v>0.2</v>
      </c>
      <c r="I547" s="401">
        <v>0.3</v>
      </c>
      <c r="J547" s="388"/>
      <c r="K547" s="377"/>
      <c r="L547" s="385">
        <f>F547*0.5+0.25</f>
        <v>1.75</v>
      </c>
      <c r="M547" s="377"/>
      <c r="N547" s="377"/>
      <c r="O547" s="382"/>
      <c r="P547" s="377"/>
      <c r="Q547" s="377"/>
      <c r="R547" s="377"/>
      <c r="S547" s="377"/>
      <c r="T547" s="377">
        <f t="shared" si="199"/>
        <v>0.82499999999999996</v>
      </c>
      <c r="U547" s="377"/>
      <c r="V547" s="376"/>
      <c r="W547" s="377"/>
      <c r="X547" s="377">
        <f t="shared" si="204"/>
        <v>0.74250000000000005</v>
      </c>
      <c r="Y547" s="222">
        <f t="shared" si="187"/>
        <v>681750</v>
      </c>
      <c r="Z547" s="223">
        <f t="shared" si="205"/>
        <v>4090500</v>
      </c>
    </row>
    <row r="548" spans="1:26" s="44" customFormat="1" ht="24" customHeight="1">
      <c r="A548" s="107" t="s">
        <v>3</v>
      </c>
      <c r="B548" s="268" t="s">
        <v>389</v>
      </c>
      <c r="C548" s="229"/>
      <c r="D548" s="229"/>
      <c r="E548" s="231">
        <f>SUM(E549:E558)</f>
        <v>44.122749999999989</v>
      </c>
      <c r="F548" s="393">
        <f t="shared" ref="F548:Z548" si="207">SUM(F549:F558)</f>
        <v>28.49</v>
      </c>
      <c r="G548" s="393">
        <f t="shared" si="207"/>
        <v>9.2224999999999984</v>
      </c>
      <c r="H548" s="393">
        <f t="shared" si="207"/>
        <v>1.9999999999999998</v>
      </c>
      <c r="I548" s="393">
        <f t="shared" si="207"/>
        <v>0</v>
      </c>
      <c r="J548" s="393">
        <f t="shared" si="207"/>
        <v>0</v>
      </c>
      <c r="K548" s="381">
        <f t="shared" si="207"/>
        <v>0</v>
      </c>
      <c r="L548" s="407">
        <f t="shared" si="207"/>
        <v>0</v>
      </c>
      <c r="M548" s="381">
        <f t="shared" si="207"/>
        <v>0</v>
      </c>
      <c r="N548" s="381">
        <f t="shared" si="207"/>
        <v>0</v>
      </c>
      <c r="O548" s="381">
        <f t="shared" si="207"/>
        <v>0</v>
      </c>
      <c r="P548" s="381">
        <f t="shared" si="207"/>
        <v>0</v>
      </c>
      <c r="Q548" s="381">
        <f t="shared" si="207"/>
        <v>0</v>
      </c>
      <c r="R548" s="381">
        <f t="shared" si="207"/>
        <v>0</v>
      </c>
      <c r="S548" s="381">
        <f t="shared" si="207"/>
        <v>0</v>
      </c>
      <c r="T548" s="381">
        <f t="shared" si="207"/>
        <v>7.1224999999999996</v>
      </c>
      <c r="U548" s="381">
        <f t="shared" si="207"/>
        <v>0</v>
      </c>
      <c r="V548" s="381">
        <f t="shared" si="207"/>
        <v>0.1</v>
      </c>
      <c r="W548" s="381">
        <f t="shared" si="207"/>
        <v>0</v>
      </c>
      <c r="X548" s="381">
        <f t="shared" si="207"/>
        <v>6.4102499999999996</v>
      </c>
      <c r="Y548" s="232">
        <f t="shared" si="207"/>
        <v>4412275</v>
      </c>
      <c r="Z548" s="232">
        <f t="shared" si="207"/>
        <v>26473650</v>
      </c>
    </row>
    <row r="549" spans="1:26" s="44" customFormat="1" ht="24" customHeight="1">
      <c r="A549" s="79">
        <v>1</v>
      </c>
      <c r="B549" s="66" t="s">
        <v>390</v>
      </c>
      <c r="C549" s="226"/>
      <c r="D549" s="226"/>
      <c r="E549" s="228">
        <f t="shared" ref="E549:E558" si="208">+F549+G549+X549</f>
        <v>6.0852500000000003</v>
      </c>
      <c r="F549" s="401">
        <v>3.99</v>
      </c>
      <c r="G549" s="406">
        <f t="shared" si="206"/>
        <v>1.1975</v>
      </c>
      <c r="H549" s="401">
        <v>0.2</v>
      </c>
      <c r="I549" s="401"/>
      <c r="J549" s="388"/>
      <c r="K549" s="377"/>
      <c r="L549" s="383"/>
      <c r="M549" s="377"/>
      <c r="N549" s="377"/>
      <c r="O549" s="382"/>
      <c r="P549" s="377"/>
      <c r="Q549" s="377"/>
      <c r="R549" s="377"/>
      <c r="S549" s="377"/>
      <c r="T549" s="377">
        <f t="shared" si="199"/>
        <v>0.99750000000000005</v>
      </c>
      <c r="U549" s="377"/>
      <c r="V549" s="376"/>
      <c r="W549" s="377"/>
      <c r="X549" s="377">
        <f t="shared" ref="X549:X558" si="209">(F549+I549+J549+K549)*22.5/100</f>
        <v>0.89775000000000005</v>
      </c>
      <c r="Y549" s="222">
        <f t="shared" si="187"/>
        <v>608525</v>
      </c>
      <c r="Z549" s="223">
        <f t="shared" si="205"/>
        <v>3651150</v>
      </c>
    </row>
    <row r="550" spans="1:26" s="44" customFormat="1" ht="24" customHeight="1">
      <c r="A550" s="79">
        <v>2</v>
      </c>
      <c r="B550" s="66" t="s">
        <v>391</v>
      </c>
      <c r="C550" s="226"/>
      <c r="D550" s="226"/>
      <c r="E550" s="228">
        <f t="shared" si="208"/>
        <v>4.4184999999999999</v>
      </c>
      <c r="F550" s="401">
        <v>2.86</v>
      </c>
      <c r="G550" s="406">
        <f t="shared" si="206"/>
        <v>0.91500000000000004</v>
      </c>
      <c r="H550" s="401">
        <v>0.2</v>
      </c>
      <c r="I550" s="401"/>
      <c r="J550" s="388"/>
      <c r="K550" s="377"/>
      <c r="L550" s="383"/>
      <c r="M550" s="377"/>
      <c r="N550" s="377"/>
      <c r="O550" s="382"/>
      <c r="P550" s="377"/>
      <c r="Q550" s="377"/>
      <c r="R550" s="377"/>
      <c r="S550" s="377"/>
      <c r="T550" s="377">
        <f t="shared" si="199"/>
        <v>0.71499999999999997</v>
      </c>
      <c r="U550" s="377"/>
      <c r="V550" s="376"/>
      <c r="W550" s="377"/>
      <c r="X550" s="377">
        <f t="shared" si="209"/>
        <v>0.64349999999999996</v>
      </c>
      <c r="Y550" s="222">
        <f t="shared" ref="Y550:Y610" si="210">E550*100000</f>
        <v>441850</v>
      </c>
      <c r="Z550" s="223">
        <f t="shared" si="205"/>
        <v>2651100</v>
      </c>
    </row>
    <row r="551" spans="1:26" s="44" customFormat="1" ht="24" customHeight="1">
      <c r="A551" s="79">
        <v>3</v>
      </c>
      <c r="B551" s="66" t="s">
        <v>392</v>
      </c>
      <c r="C551" s="226"/>
      <c r="D551" s="226"/>
      <c r="E551" s="228">
        <f t="shared" si="208"/>
        <v>4.4184999999999999</v>
      </c>
      <c r="F551" s="401">
        <v>2.86</v>
      </c>
      <c r="G551" s="406">
        <f t="shared" si="206"/>
        <v>0.91500000000000004</v>
      </c>
      <c r="H551" s="401">
        <v>0.2</v>
      </c>
      <c r="I551" s="401"/>
      <c r="J551" s="388"/>
      <c r="K551" s="377"/>
      <c r="L551" s="383"/>
      <c r="M551" s="377"/>
      <c r="N551" s="377"/>
      <c r="O551" s="382"/>
      <c r="P551" s="377"/>
      <c r="Q551" s="377"/>
      <c r="R551" s="377"/>
      <c r="S551" s="377"/>
      <c r="T551" s="377">
        <f t="shared" si="199"/>
        <v>0.71499999999999997</v>
      </c>
      <c r="U551" s="377"/>
      <c r="V551" s="376"/>
      <c r="W551" s="377"/>
      <c r="X551" s="377">
        <f t="shared" si="209"/>
        <v>0.64349999999999996</v>
      </c>
      <c r="Y551" s="222">
        <f t="shared" si="210"/>
        <v>441850</v>
      </c>
      <c r="Z551" s="223">
        <f t="shared" si="205"/>
        <v>2651100</v>
      </c>
    </row>
    <row r="552" spans="1:26" s="44" customFormat="1" ht="24" customHeight="1">
      <c r="A552" s="79">
        <v>4</v>
      </c>
      <c r="B552" s="66" t="s">
        <v>261</v>
      </c>
      <c r="C552" s="226"/>
      <c r="D552" s="226"/>
      <c r="E552" s="228">
        <f t="shared" si="208"/>
        <v>4.1382499999999993</v>
      </c>
      <c r="F552" s="401">
        <v>2.67</v>
      </c>
      <c r="G552" s="406">
        <f>+SUM(H552:W552)</f>
        <v>0.86749999999999994</v>
      </c>
      <c r="H552" s="401">
        <v>0.2</v>
      </c>
      <c r="I552" s="401"/>
      <c r="J552" s="388"/>
      <c r="K552" s="377"/>
      <c r="L552" s="383"/>
      <c r="M552" s="377"/>
      <c r="N552" s="377"/>
      <c r="O552" s="382"/>
      <c r="P552" s="377"/>
      <c r="Q552" s="377"/>
      <c r="R552" s="377"/>
      <c r="S552" s="377"/>
      <c r="T552" s="377">
        <f t="shared" si="199"/>
        <v>0.66749999999999998</v>
      </c>
      <c r="U552" s="377"/>
      <c r="V552" s="376"/>
      <c r="W552" s="377"/>
      <c r="X552" s="377">
        <f t="shared" si="209"/>
        <v>0.60075000000000001</v>
      </c>
      <c r="Y552" s="222">
        <f t="shared" si="210"/>
        <v>413824.99999999994</v>
      </c>
      <c r="Z552" s="223">
        <f t="shared" si="205"/>
        <v>2482949.9999999995</v>
      </c>
    </row>
    <row r="553" spans="1:26" s="44" customFormat="1" ht="24" customHeight="1">
      <c r="A553" s="79">
        <v>5</v>
      </c>
      <c r="B553" s="66" t="s">
        <v>276</v>
      </c>
      <c r="C553" s="226"/>
      <c r="D553" s="226"/>
      <c r="E553" s="228">
        <f t="shared" si="208"/>
        <v>4.1382499999999993</v>
      </c>
      <c r="F553" s="401">
        <v>2.67</v>
      </c>
      <c r="G553" s="406">
        <f t="shared" si="206"/>
        <v>0.86749999999999994</v>
      </c>
      <c r="H553" s="401">
        <v>0.2</v>
      </c>
      <c r="I553" s="401"/>
      <c r="J553" s="388"/>
      <c r="K553" s="377"/>
      <c r="L553" s="383"/>
      <c r="M553" s="377"/>
      <c r="N553" s="377"/>
      <c r="O553" s="382"/>
      <c r="P553" s="377"/>
      <c r="Q553" s="377"/>
      <c r="R553" s="377"/>
      <c r="S553" s="377"/>
      <c r="T553" s="377">
        <f t="shared" si="199"/>
        <v>0.66749999999999998</v>
      </c>
      <c r="U553" s="377"/>
      <c r="V553" s="376"/>
      <c r="W553" s="377"/>
      <c r="X553" s="377">
        <f t="shared" si="209"/>
        <v>0.60075000000000001</v>
      </c>
      <c r="Y553" s="222">
        <f t="shared" si="210"/>
        <v>413824.99999999994</v>
      </c>
      <c r="Z553" s="223">
        <f t="shared" si="205"/>
        <v>2482949.9999999995</v>
      </c>
    </row>
    <row r="554" spans="1:26" s="44" customFormat="1" ht="24" customHeight="1">
      <c r="A554" s="79">
        <v>6</v>
      </c>
      <c r="B554" s="66" t="s">
        <v>393</v>
      </c>
      <c r="C554" s="226"/>
      <c r="D554" s="226"/>
      <c r="E554" s="228">
        <f t="shared" si="208"/>
        <v>4.7249999999999996</v>
      </c>
      <c r="F554" s="401">
        <v>3</v>
      </c>
      <c r="G554" s="406">
        <f t="shared" si="206"/>
        <v>1.05</v>
      </c>
      <c r="H554" s="401">
        <v>0.2</v>
      </c>
      <c r="I554" s="401"/>
      <c r="J554" s="388"/>
      <c r="K554" s="377"/>
      <c r="L554" s="383"/>
      <c r="M554" s="377"/>
      <c r="N554" s="377"/>
      <c r="O554" s="382"/>
      <c r="P554" s="377"/>
      <c r="Q554" s="377"/>
      <c r="R554" s="377"/>
      <c r="S554" s="377"/>
      <c r="T554" s="377">
        <f t="shared" si="199"/>
        <v>0.75</v>
      </c>
      <c r="U554" s="377"/>
      <c r="V554" s="376">
        <v>0.1</v>
      </c>
      <c r="W554" s="377"/>
      <c r="X554" s="377">
        <f t="shared" si="209"/>
        <v>0.67500000000000004</v>
      </c>
      <c r="Y554" s="222">
        <f t="shared" si="210"/>
        <v>472499.99999999994</v>
      </c>
      <c r="Z554" s="223">
        <f t="shared" si="205"/>
        <v>2834999.9999999995</v>
      </c>
    </row>
    <row r="555" spans="1:26" s="44" customFormat="1" ht="24" customHeight="1">
      <c r="A555" s="79">
        <v>7</v>
      </c>
      <c r="B555" s="66" t="s">
        <v>394</v>
      </c>
      <c r="C555" s="226"/>
      <c r="D555" s="226"/>
      <c r="E555" s="228">
        <f t="shared" si="208"/>
        <v>3.8285</v>
      </c>
      <c r="F555" s="401">
        <v>2.46</v>
      </c>
      <c r="G555" s="406">
        <f t="shared" si="206"/>
        <v>0.81499999999999995</v>
      </c>
      <c r="H555" s="401">
        <v>0.2</v>
      </c>
      <c r="I555" s="401"/>
      <c r="J555" s="388"/>
      <c r="K555" s="377"/>
      <c r="L555" s="383"/>
      <c r="M555" s="377"/>
      <c r="N555" s="377"/>
      <c r="O555" s="382"/>
      <c r="P555" s="377"/>
      <c r="Q555" s="377"/>
      <c r="R555" s="377"/>
      <c r="S555" s="377"/>
      <c r="T555" s="377">
        <f t="shared" si="199"/>
        <v>0.61499999999999999</v>
      </c>
      <c r="U555" s="377"/>
      <c r="V555" s="376"/>
      <c r="W555" s="377"/>
      <c r="X555" s="377">
        <f t="shared" si="209"/>
        <v>0.55349999999999999</v>
      </c>
      <c r="Y555" s="222">
        <f t="shared" si="210"/>
        <v>382850</v>
      </c>
      <c r="Z555" s="223">
        <f t="shared" si="205"/>
        <v>2297100</v>
      </c>
    </row>
    <row r="556" spans="1:26" s="44" customFormat="1" ht="24" customHeight="1">
      <c r="A556" s="79">
        <v>8</v>
      </c>
      <c r="B556" s="66" t="s">
        <v>264</v>
      </c>
      <c r="C556" s="226"/>
      <c r="D556" s="226"/>
      <c r="E556" s="228">
        <f t="shared" si="208"/>
        <v>3.8285</v>
      </c>
      <c r="F556" s="401">
        <v>2.46</v>
      </c>
      <c r="G556" s="406">
        <f t="shared" si="206"/>
        <v>0.81499999999999995</v>
      </c>
      <c r="H556" s="401">
        <v>0.2</v>
      </c>
      <c r="I556" s="401"/>
      <c r="J556" s="388"/>
      <c r="K556" s="377"/>
      <c r="L556" s="383"/>
      <c r="M556" s="377"/>
      <c r="N556" s="377"/>
      <c r="O556" s="382"/>
      <c r="P556" s="377"/>
      <c r="Q556" s="377"/>
      <c r="R556" s="377"/>
      <c r="S556" s="377"/>
      <c r="T556" s="377">
        <f t="shared" si="199"/>
        <v>0.61499999999999999</v>
      </c>
      <c r="U556" s="377"/>
      <c r="V556" s="376"/>
      <c r="W556" s="377"/>
      <c r="X556" s="377">
        <f t="shared" si="209"/>
        <v>0.55349999999999999</v>
      </c>
      <c r="Y556" s="222">
        <f t="shared" si="210"/>
        <v>382850</v>
      </c>
      <c r="Z556" s="223">
        <f t="shared" si="205"/>
        <v>2297100</v>
      </c>
    </row>
    <row r="557" spans="1:26" s="44" customFormat="1" ht="24" customHeight="1">
      <c r="A557" s="79">
        <v>9</v>
      </c>
      <c r="B557" s="66" t="s">
        <v>395</v>
      </c>
      <c r="C557" s="226"/>
      <c r="D557" s="226"/>
      <c r="E557" s="228">
        <f t="shared" si="208"/>
        <v>4.7134999999999998</v>
      </c>
      <c r="F557" s="401">
        <v>3.06</v>
      </c>
      <c r="G557" s="406">
        <f t="shared" si="206"/>
        <v>0.96500000000000008</v>
      </c>
      <c r="H557" s="401">
        <v>0.2</v>
      </c>
      <c r="I557" s="392"/>
      <c r="J557" s="388"/>
      <c r="K557" s="377"/>
      <c r="L557" s="386"/>
      <c r="M557" s="377"/>
      <c r="N557" s="377"/>
      <c r="O557" s="382"/>
      <c r="P557" s="377"/>
      <c r="Q557" s="377"/>
      <c r="R557" s="377"/>
      <c r="S557" s="377"/>
      <c r="T557" s="377">
        <f t="shared" si="199"/>
        <v>0.76500000000000001</v>
      </c>
      <c r="U557" s="377"/>
      <c r="V557" s="376"/>
      <c r="W557" s="377"/>
      <c r="X557" s="377">
        <f t="shared" si="209"/>
        <v>0.68849999999999989</v>
      </c>
      <c r="Y557" s="222">
        <f t="shared" si="210"/>
        <v>471350</v>
      </c>
      <c r="Z557" s="223">
        <f t="shared" si="205"/>
        <v>2828100</v>
      </c>
    </row>
    <row r="558" spans="1:26" s="44" customFormat="1" ht="24" customHeight="1">
      <c r="A558" s="79">
        <v>10</v>
      </c>
      <c r="B558" s="66" t="s">
        <v>396</v>
      </c>
      <c r="C558" s="226"/>
      <c r="D558" s="226"/>
      <c r="E558" s="228">
        <f t="shared" si="208"/>
        <v>3.8285</v>
      </c>
      <c r="F558" s="401">
        <v>2.46</v>
      </c>
      <c r="G558" s="406">
        <f t="shared" si="206"/>
        <v>0.81499999999999995</v>
      </c>
      <c r="H558" s="401">
        <v>0.2</v>
      </c>
      <c r="I558" s="392"/>
      <c r="J558" s="388"/>
      <c r="K558" s="377"/>
      <c r="L558" s="383"/>
      <c r="M558" s="377"/>
      <c r="N558" s="377"/>
      <c r="O558" s="382"/>
      <c r="P558" s="377"/>
      <c r="Q558" s="377"/>
      <c r="R558" s="377"/>
      <c r="S558" s="377"/>
      <c r="T558" s="377">
        <f t="shared" si="199"/>
        <v>0.61499999999999999</v>
      </c>
      <c r="U558" s="377"/>
      <c r="V558" s="376"/>
      <c r="W558" s="377"/>
      <c r="X558" s="377">
        <f t="shared" si="209"/>
        <v>0.55349999999999999</v>
      </c>
      <c r="Y558" s="222">
        <f t="shared" si="210"/>
        <v>382850</v>
      </c>
      <c r="Z558" s="223">
        <f t="shared" si="205"/>
        <v>2297100</v>
      </c>
    </row>
    <row r="559" spans="1:26" s="44" customFormat="1" ht="33.6" customHeight="1">
      <c r="A559" s="87" t="s">
        <v>4</v>
      </c>
      <c r="B559" s="269" t="s">
        <v>332</v>
      </c>
      <c r="C559" s="226"/>
      <c r="D559" s="226"/>
      <c r="E559" s="231">
        <f>SUM(E560:E561)</f>
        <v>22.7</v>
      </c>
      <c r="F559" s="381">
        <f t="shared" ref="F559:Z559" si="211">SUM(F560:F561)</f>
        <v>22.7</v>
      </c>
      <c r="G559" s="381">
        <f t="shared" si="211"/>
        <v>0</v>
      </c>
      <c r="H559" s="381">
        <f t="shared" si="211"/>
        <v>0</v>
      </c>
      <c r="I559" s="381">
        <f t="shared" si="211"/>
        <v>0</v>
      </c>
      <c r="J559" s="381">
        <f t="shared" si="211"/>
        <v>0</v>
      </c>
      <c r="K559" s="381">
        <f t="shared" si="211"/>
        <v>0</v>
      </c>
      <c r="L559" s="381">
        <f t="shared" si="211"/>
        <v>0</v>
      </c>
      <c r="M559" s="381">
        <f t="shared" si="211"/>
        <v>0</v>
      </c>
      <c r="N559" s="381">
        <f t="shared" si="211"/>
        <v>0</v>
      </c>
      <c r="O559" s="381">
        <f t="shared" si="211"/>
        <v>0</v>
      </c>
      <c r="P559" s="381">
        <f t="shared" si="211"/>
        <v>0</v>
      </c>
      <c r="Q559" s="381">
        <f t="shared" si="211"/>
        <v>0</v>
      </c>
      <c r="R559" s="381">
        <f t="shared" si="211"/>
        <v>0</v>
      </c>
      <c r="S559" s="381">
        <f t="shared" si="211"/>
        <v>0</v>
      </c>
      <c r="T559" s="381">
        <f t="shared" si="211"/>
        <v>0</v>
      </c>
      <c r="U559" s="381">
        <f t="shared" si="211"/>
        <v>0</v>
      </c>
      <c r="V559" s="381">
        <f t="shared" si="211"/>
        <v>0</v>
      </c>
      <c r="W559" s="381">
        <f t="shared" si="211"/>
        <v>0</v>
      </c>
      <c r="X559" s="381">
        <f t="shared" si="211"/>
        <v>0</v>
      </c>
      <c r="Y559" s="232">
        <f t="shared" si="211"/>
        <v>2270000</v>
      </c>
      <c r="Z559" s="232">
        <f t="shared" si="211"/>
        <v>13620000</v>
      </c>
    </row>
    <row r="560" spans="1:26" s="44" customFormat="1" ht="24" customHeight="1">
      <c r="A560" s="88">
        <v>1</v>
      </c>
      <c r="B560" s="97" t="s">
        <v>355</v>
      </c>
      <c r="C560" s="232">
        <v>12</v>
      </c>
      <c r="D560" s="226"/>
      <c r="E560" s="228">
        <f>+F560+G560+X560</f>
        <v>13.7</v>
      </c>
      <c r="F560" s="375">
        <v>13.7</v>
      </c>
      <c r="G560" s="376">
        <f t="shared" si="206"/>
        <v>0</v>
      </c>
      <c r="H560" s="377"/>
      <c r="I560" s="382"/>
      <c r="J560" s="377"/>
      <c r="K560" s="377"/>
      <c r="L560" s="382"/>
      <c r="M560" s="377"/>
      <c r="N560" s="377"/>
      <c r="O560" s="382"/>
      <c r="P560" s="377"/>
      <c r="Q560" s="377"/>
      <c r="R560" s="377"/>
      <c r="S560" s="377"/>
      <c r="T560" s="377"/>
      <c r="U560" s="377"/>
      <c r="V560" s="376"/>
      <c r="W560" s="377"/>
      <c r="X560" s="377"/>
      <c r="Y560" s="222">
        <f t="shared" si="210"/>
        <v>1370000</v>
      </c>
      <c r="Z560" s="223">
        <f t="shared" si="205"/>
        <v>8220000</v>
      </c>
    </row>
    <row r="561" spans="1:26" s="44" customFormat="1" ht="24" customHeight="1">
      <c r="A561" s="85">
        <v>2</v>
      </c>
      <c r="B561" s="113" t="s">
        <v>607</v>
      </c>
      <c r="C561" s="232">
        <v>9</v>
      </c>
      <c r="D561" s="226"/>
      <c r="E561" s="228">
        <f>+F561+G561+X561</f>
        <v>9</v>
      </c>
      <c r="F561" s="375">
        <f>3*3</f>
        <v>9</v>
      </c>
      <c r="G561" s="376">
        <f t="shared" si="206"/>
        <v>0</v>
      </c>
      <c r="H561" s="377"/>
      <c r="I561" s="382"/>
      <c r="J561" s="377"/>
      <c r="K561" s="377"/>
      <c r="L561" s="382"/>
      <c r="M561" s="377"/>
      <c r="N561" s="377"/>
      <c r="O561" s="382"/>
      <c r="P561" s="377"/>
      <c r="Q561" s="377"/>
      <c r="R561" s="377"/>
      <c r="S561" s="377"/>
      <c r="T561" s="377"/>
      <c r="U561" s="377"/>
      <c r="V561" s="376"/>
      <c r="W561" s="377"/>
      <c r="X561" s="377"/>
      <c r="Y561" s="222">
        <f t="shared" si="210"/>
        <v>900000</v>
      </c>
      <c r="Z561" s="223">
        <f t="shared" si="205"/>
        <v>5400000</v>
      </c>
    </row>
    <row r="562" spans="1:26" s="44" customFormat="1" ht="24" customHeight="1">
      <c r="A562" s="80" t="s">
        <v>59</v>
      </c>
      <c r="B562" s="74" t="s">
        <v>280</v>
      </c>
      <c r="C562" s="226"/>
      <c r="D562" s="226"/>
      <c r="E562" s="231">
        <f>SUM(E563:E573)</f>
        <v>3.2999999999999994</v>
      </c>
      <c r="F562" s="381">
        <f t="shared" ref="F562:Z562" si="212">SUM(F563:F573)</f>
        <v>0</v>
      </c>
      <c r="G562" s="381">
        <f t="shared" si="212"/>
        <v>3.2999999999999994</v>
      </c>
      <c r="H562" s="381">
        <f t="shared" si="212"/>
        <v>0</v>
      </c>
      <c r="I562" s="381">
        <f t="shared" si="212"/>
        <v>0</v>
      </c>
      <c r="J562" s="381">
        <f t="shared" si="212"/>
        <v>0</v>
      </c>
      <c r="K562" s="381">
        <f t="shared" si="212"/>
        <v>0</v>
      </c>
      <c r="L562" s="381">
        <f t="shared" si="212"/>
        <v>0</v>
      </c>
      <c r="M562" s="381">
        <f t="shared" si="212"/>
        <v>0</v>
      </c>
      <c r="N562" s="381">
        <f t="shared" si="212"/>
        <v>3.2999999999999994</v>
      </c>
      <c r="O562" s="381">
        <f t="shared" si="212"/>
        <v>0</v>
      </c>
      <c r="P562" s="381">
        <f t="shared" si="212"/>
        <v>0</v>
      </c>
      <c r="Q562" s="381">
        <f t="shared" si="212"/>
        <v>0</v>
      </c>
      <c r="R562" s="381">
        <f t="shared" si="212"/>
        <v>0</v>
      </c>
      <c r="S562" s="381">
        <f t="shared" si="212"/>
        <v>0</v>
      </c>
      <c r="T562" s="381">
        <f t="shared" si="212"/>
        <v>0</v>
      </c>
      <c r="U562" s="381">
        <f t="shared" si="212"/>
        <v>0</v>
      </c>
      <c r="V562" s="381">
        <f t="shared" si="212"/>
        <v>0</v>
      </c>
      <c r="W562" s="381">
        <f t="shared" si="212"/>
        <v>0</v>
      </c>
      <c r="X562" s="381">
        <f t="shared" si="212"/>
        <v>0</v>
      </c>
      <c r="Y562" s="232">
        <f t="shared" si="212"/>
        <v>330000</v>
      </c>
      <c r="Z562" s="232">
        <f t="shared" si="212"/>
        <v>1980000</v>
      </c>
    </row>
    <row r="563" spans="1:26" s="44" customFormat="1" ht="24" customHeight="1">
      <c r="A563" s="89">
        <v>1</v>
      </c>
      <c r="B563" s="72" t="s">
        <v>250</v>
      </c>
      <c r="C563" s="226"/>
      <c r="D563" s="226"/>
      <c r="E563" s="228">
        <f t="shared" ref="E563:E573" si="213">+F563+G563+X563</f>
        <v>0.3</v>
      </c>
      <c r="F563" s="385"/>
      <c r="G563" s="376">
        <f t="shared" si="206"/>
        <v>0.3</v>
      </c>
      <c r="H563" s="377"/>
      <c r="I563" s="382"/>
      <c r="J563" s="377"/>
      <c r="K563" s="377"/>
      <c r="L563" s="383"/>
      <c r="M563" s="377"/>
      <c r="N563" s="377">
        <v>0.3</v>
      </c>
      <c r="O563" s="382"/>
      <c r="P563" s="377"/>
      <c r="Q563" s="377"/>
      <c r="R563" s="377"/>
      <c r="S563" s="377"/>
      <c r="T563" s="377">
        <f t="shared" si="199"/>
        <v>0</v>
      </c>
      <c r="U563" s="377"/>
      <c r="V563" s="376"/>
      <c r="W563" s="377"/>
      <c r="X563" s="377">
        <f t="shared" ref="X563:X573" si="214">(F563+I563+J563+K563)*22.5/100</f>
        <v>0</v>
      </c>
      <c r="Y563" s="222">
        <f t="shared" si="210"/>
        <v>30000</v>
      </c>
      <c r="Z563" s="223">
        <f t="shared" si="205"/>
        <v>180000</v>
      </c>
    </row>
    <row r="564" spans="1:26" s="44" customFormat="1" ht="24" customHeight="1">
      <c r="A564" s="89">
        <v>2</v>
      </c>
      <c r="B564" s="72" t="s">
        <v>251</v>
      </c>
      <c r="C564" s="226"/>
      <c r="D564" s="226"/>
      <c r="E564" s="228">
        <f t="shared" si="213"/>
        <v>0.3</v>
      </c>
      <c r="F564" s="385"/>
      <c r="G564" s="376">
        <f t="shared" si="206"/>
        <v>0.3</v>
      </c>
      <c r="H564" s="377"/>
      <c r="I564" s="382"/>
      <c r="J564" s="377"/>
      <c r="K564" s="377"/>
      <c r="L564" s="383"/>
      <c r="M564" s="377"/>
      <c r="N564" s="377">
        <v>0.3</v>
      </c>
      <c r="O564" s="382"/>
      <c r="P564" s="377"/>
      <c r="Q564" s="377"/>
      <c r="R564" s="377"/>
      <c r="S564" s="377"/>
      <c r="T564" s="377">
        <f t="shared" si="199"/>
        <v>0</v>
      </c>
      <c r="U564" s="377"/>
      <c r="V564" s="376"/>
      <c r="W564" s="377"/>
      <c r="X564" s="377">
        <f t="shared" si="214"/>
        <v>0</v>
      </c>
      <c r="Y564" s="222">
        <f t="shared" si="210"/>
        <v>30000</v>
      </c>
      <c r="Z564" s="223">
        <f t="shared" si="205"/>
        <v>180000</v>
      </c>
    </row>
    <row r="565" spans="1:26" s="44" customFormat="1" ht="24" customHeight="1">
      <c r="A565" s="89">
        <v>3</v>
      </c>
      <c r="B565" s="72" t="s">
        <v>252</v>
      </c>
      <c r="C565" s="226"/>
      <c r="D565" s="226"/>
      <c r="E565" s="228">
        <f t="shared" si="213"/>
        <v>0.3</v>
      </c>
      <c r="F565" s="385"/>
      <c r="G565" s="376">
        <f t="shared" si="206"/>
        <v>0.3</v>
      </c>
      <c r="H565" s="377"/>
      <c r="I565" s="382"/>
      <c r="J565" s="377"/>
      <c r="K565" s="377"/>
      <c r="L565" s="383"/>
      <c r="M565" s="377"/>
      <c r="N565" s="377">
        <v>0.3</v>
      </c>
      <c r="O565" s="382"/>
      <c r="P565" s="377"/>
      <c r="Q565" s="377"/>
      <c r="R565" s="377"/>
      <c r="S565" s="377"/>
      <c r="T565" s="377">
        <f t="shared" si="199"/>
        <v>0</v>
      </c>
      <c r="U565" s="377"/>
      <c r="V565" s="376"/>
      <c r="W565" s="377"/>
      <c r="X565" s="377">
        <f t="shared" si="214"/>
        <v>0</v>
      </c>
      <c r="Y565" s="222">
        <f t="shared" si="210"/>
        <v>30000</v>
      </c>
      <c r="Z565" s="223">
        <f t="shared" si="205"/>
        <v>180000</v>
      </c>
    </row>
    <row r="566" spans="1:26" s="44" customFormat="1" ht="24" customHeight="1">
      <c r="A566" s="89">
        <v>4</v>
      </c>
      <c r="B566" s="72" t="s">
        <v>253</v>
      </c>
      <c r="C566" s="226"/>
      <c r="D566" s="226"/>
      <c r="E566" s="228">
        <f t="shared" si="213"/>
        <v>0.3</v>
      </c>
      <c r="F566" s="385"/>
      <c r="G566" s="376">
        <f t="shared" si="206"/>
        <v>0.3</v>
      </c>
      <c r="H566" s="377"/>
      <c r="I566" s="382"/>
      <c r="J566" s="377"/>
      <c r="K566" s="377"/>
      <c r="L566" s="383"/>
      <c r="M566" s="377"/>
      <c r="N566" s="377">
        <v>0.3</v>
      </c>
      <c r="O566" s="382"/>
      <c r="P566" s="377"/>
      <c r="Q566" s="377"/>
      <c r="R566" s="377"/>
      <c r="S566" s="377"/>
      <c r="T566" s="377">
        <f t="shared" si="199"/>
        <v>0</v>
      </c>
      <c r="U566" s="377"/>
      <c r="V566" s="376"/>
      <c r="W566" s="377"/>
      <c r="X566" s="377">
        <f t="shared" si="214"/>
        <v>0</v>
      </c>
      <c r="Y566" s="222">
        <f t="shared" si="210"/>
        <v>30000</v>
      </c>
      <c r="Z566" s="223">
        <f t="shared" si="205"/>
        <v>180000</v>
      </c>
    </row>
    <row r="567" spans="1:26" s="44" customFormat="1" ht="24" customHeight="1">
      <c r="A567" s="89">
        <v>5</v>
      </c>
      <c r="B567" s="72" t="s">
        <v>254</v>
      </c>
      <c r="C567" s="226"/>
      <c r="D567" s="226"/>
      <c r="E567" s="228">
        <f t="shared" si="213"/>
        <v>0.3</v>
      </c>
      <c r="F567" s="385"/>
      <c r="G567" s="376">
        <f t="shared" si="206"/>
        <v>0.3</v>
      </c>
      <c r="H567" s="377"/>
      <c r="I567" s="382"/>
      <c r="J567" s="377"/>
      <c r="K567" s="377"/>
      <c r="L567" s="383"/>
      <c r="M567" s="377"/>
      <c r="N567" s="377">
        <v>0.3</v>
      </c>
      <c r="O567" s="382"/>
      <c r="P567" s="377"/>
      <c r="Q567" s="377"/>
      <c r="R567" s="377"/>
      <c r="S567" s="377"/>
      <c r="T567" s="377">
        <f t="shared" si="199"/>
        <v>0</v>
      </c>
      <c r="U567" s="377"/>
      <c r="V567" s="376"/>
      <c r="W567" s="377"/>
      <c r="X567" s="377">
        <f t="shared" si="214"/>
        <v>0</v>
      </c>
      <c r="Y567" s="222">
        <f t="shared" si="210"/>
        <v>30000</v>
      </c>
      <c r="Z567" s="223">
        <f t="shared" si="205"/>
        <v>180000</v>
      </c>
    </row>
    <row r="568" spans="1:26" s="44" customFormat="1" ht="24" customHeight="1">
      <c r="A568" s="89">
        <v>6</v>
      </c>
      <c r="B568" s="72" t="s">
        <v>255</v>
      </c>
      <c r="C568" s="226"/>
      <c r="D568" s="226"/>
      <c r="E568" s="228">
        <f t="shared" si="213"/>
        <v>0.3</v>
      </c>
      <c r="F568" s="385"/>
      <c r="G568" s="376">
        <f t="shared" si="206"/>
        <v>0.3</v>
      </c>
      <c r="H568" s="377"/>
      <c r="I568" s="382"/>
      <c r="J568" s="377"/>
      <c r="K568" s="377"/>
      <c r="L568" s="383"/>
      <c r="M568" s="377"/>
      <c r="N568" s="377">
        <v>0.3</v>
      </c>
      <c r="O568" s="382"/>
      <c r="P568" s="377"/>
      <c r="Q568" s="377"/>
      <c r="R568" s="377"/>
      <c r="S568" s="377"/>
      <c r="T568" s="377">
        <f t="shared" si="199"/>
        <v>0</v>
      </c>
      <c r="U568" s="377"/>
      <c r="V568" s="376"/>
      <c r="W568" s="377"/>
      <c r="X568" s="377">
        <f t="shared" si="214"/>
        <v>0</v>
      </c>
      <c r="Y568" s="222">
        <f t="shared" si="210"/>
        <v>30000</v>
      </c>
      <c r="Z568" s="223">
        <f t="shared" si="205"/>
        <v>180000</v>
      </c>
    </row>
    <row r="569" spans="1:26" s="44" customFormat="1" ht="24" customHeight="1">
      <c r="A569" s="89">
        <v>7</v>
      </c>
      <c r="B569" s="72" t="s">
        <v>256</v>
      </c>
      <c r="C569" s="226"/>
      <c r="D569" s="226"/>
      <c r="E569" s="228">
        <f t="shared" si="213"/>
        <v>0.3</v>
      </c>
      <c r="F569" s="385"/>
      <c r="G569" s="376">
        <f t="shared" si="206"/>
        <v>0.3</v>
      </c>
      <c r="H569" s="377"/>
      <c r="I569" s="382"/>
      <c r="J569" s="377"/>
      <c r="K569" s="377"/>
      <c r="L569" s="383"/>
      <c r="M569" s="377"/>
      <c r="N569" s="377">
        <v>0.3</v>
      </c>
      <c r="O569" s="382"/>
      <c r="P569" s="377"/>
      <c r="Q569" s="377"/>
      <c r="R569" s="377"/>
      <c r="S569" s="377"/>
      <c r="T569" s="377">
        <f t="shared" si="199"/>
        <v>0</v>
      </c>
      <c r="U569" s="377"/>
      <c r="V569" s="376"/>
      <c r="W569" s="377"/>
      <c r="X569" s="377">
        <f t="shared" si="214"/>
        <v>0</v>
      </c>
      <c r="Y569" s="222">
        <f t="shared" si="210"/>
        <v>30000</v>
      </c>
      <c r="Z569" s="223">
        <f t="shared" si="205"/>
        <v>180000</v>
      </c>
    </row>
    <row r="570" spans="1:26" s="44" customFormat="1" ht="24" customHeight="1">
      <c r="A570" s="89">
        <v>8</v>
      </c>
      <c r="B570" s="72" t="s">
        <v>257</v>
      </c>
      <c r="C570" s="226"/>
      <c r="D570" s="226"/>
      <c r="E570" s="228">
        <f t="shared" si="213"/>
        <v>0.3</v>
      </c>
      <c r="F570" s="385"/>
      <c r="G570" s="376">
        <f t="shared" si="206"/>
        <v>0.3</v>
      </c>
      <c r="H570" s="377"/>
      <c r="I570" s="382"/>
      <c r="J570" s="377"/>
      <c r="K570" s="377"/>
      <c r="L570" s="383"/>
      <c r="M570" s="377"/>
      <c r="N570" s="377">
        <v>0.3</v>
      </c>
      <c r="O570" s="382"/>
      <c r="P570" s="377"/>
      <c r="Q570" s="377"/>
      <c r="R570" s="377"/>
      <c r="S570" s="377"/>
      <c r="T570" s="377">
        <f t="shared" si="199"/>
        <v>0</v>
      </c>
      <c r="U570" s="377"/>
      <c r="V570" s="376"/>
      <c r="W570" s="377"/>
      <c r="X570" s="377">
        <f t="shared" si="214"/>
        <v>0</v>
      </c>
      <c r="Y570" s="222">
        <f t="shared" si="210"/>
        <v>30000</v>
      </c>
      <c r="Z570" s="223">
        <f t="shared" si="205"/>
        <v>180000</v>
      </c>
    </row>
    <row r="571" spans="1:26" s="44" customFormat="1" ht="24" customHeight="1">
      <c r="A571" s="89">
        <v>9</v>
      </c>
      <c r="B571" s="72" t="s">
        <v>258</v>
      </c>
      <c r="C571" s="226"/>
      <c r="D571" s="226"/>
      <c r="E571" s="228">
        <f t="shared" si="213"/>
        <v>0.3</v>
      </c>
      <c r="F571" s="385"/>
      <c r="G571" s="376">
        <f t="shared" si="206"/>
        <v>0.3</v>
      </c>
      <c r="H571" s="377"/>
      <c r="I571" s="382"/>
      <c r="J571" s="377"/>
      <c r="K571" s="377"/>
      <c r="L571" s="383"/>
      <c r="M571" s="377"/>
      <c r="N571" s="377">
        <v>0.3</v>
      </c>
      <c r="O571" s="382"/>
      <c r="P571" s="377"/>
      <c r="Q571" s="377"/>
      <c r="R571" s="377"/>
      <c r="S571" s="377"/>
      <c r="T571" s="377">
        <f t="shared" si="199"/>
        <v>0</v>
      </c>
      <c r="U571" s="377"/>
      <c r="V571" s="376"/>
      <c r="W571" s="377"/>
      <c r="X571" s="377">
        <f t="shared" si="214"/>
        <v>0</v>
      </c>
      <c r="Y571" s="222">
        <f t="shared" si="210"/>
        <v>30000</v>
      </c>
      <c r="Z571" s="223">
        <f t="shared" si="205"/>
        <v>180000</v>
      </c>
    </row>
    <row r="572" spans="1:26" s="44" customFormat="1" ht="24" customHeight="1">
      <c r="A572" s="89">
        <v>10</v>
      </c>
      <c r="B572" s="72" t="s">
        <v>259</v>
      </c>
      <c r="C572" s="226"/>
      <c r="D572" s="226"/>
      <c r="E572" s="228">
        <f t="shared" si="213"/>
        <v>0.3</v>
      </c>
      <c r="F572" s="385"/>
      <c r="G572" s="376">
        <f t="shared" si="206"/>
        <v>0.3</v>
      </c>
      <c r="H572" s="377"/>
      <c r="I572" s="382"/>
      <c r="J572" s="377"/>
      <c r="K572" s="377"/>
      <c r="L572" s="383"/>
      <c r="M572" s="377"/>
      <c r="N572" s="377">
        <v>0.3</v>
      </c>
      <c r="O572" s="382"/>
      <c r="P572" s="377"/>
      <c r="Q572" s="377"/>
      <c r="R572" s="377"/>
      <c r="S572" s="377"/>
      <c r="T572" s="377">
        <f t="shared" si="199"/>
        <v>0</v>
      </c>
      <c r="U572" s="377"/>
      <c r="V572" s="376"/>
      <c r="W572" s="377"/>
      <c r="X572" s="377">
        <f t="shared" si="214"/>
        <v>0</v>
      </c>
      <c r="Y572" s="222">
        <f t="shared" si="210"/>
        <v>30000</v>
      </c>
      <c r="Z572" s="223">
        <f t="shared" si="205"/>
        <v>180000</v>
      </c>
    </row>
    <row r="573" spans="1:26" s="44" customFormat="1" ht="24" customHeight="1">
      <c r="A573" s="89">
        <v>11</v>
      </c>
      <c r="B573" s="72" t="s">
        <v>260</v>
      </c>
      <c r="C573" s="226"/>
      <c r="D573" s="226"/>
      <c r="E573" s="228">
        <f t="shared" si="213"/>
        <v>0.3</v>
      </c>
      <c r="F573" s="385"/>
      <c r="G573" s="376">
        <f t="shared" si="206"/>
        <v>0.3</v>
      </c>
      <c r="H573" s="377"/>
      <c r="I573" s="382"/>
      <c r="J573" s="377"/>
      <c r="K573" s="377"/>
      <c r="L573" s="383"/>
      <c r="M573" s="377"/>
      <c r="N573" s="377">
        <v>0.3</v>
      </c>
      <c r="O573" s="382"/>
      <c r="P573" s="377"/>
      <c r="Q573" s="377"/>
      <c r="R573" s="377"/>
      <c r="S573" s="377"/>
      <c r="T573" s="377">
        <f t="shared" si="199"/>
        <v>0</v>
      </c>
      <c r="U573" s="377"/>
      <c r="V573" s="376"/>
      <c r="W573" s="377"/>
      <c r="X573" s="377">
        <f t="shared" si="214"/>
        <v>0</v>
      </c>
      <c r="Y573" s="222">
        <f t="shared" si="210"/>
        <v>30000</v>
      </c>
      <c r="Z573" s="223">
        <f t="shared" si="205"/>
        <v>180000</v>
      </c>
    </row>
    <row r="574" spans="1:26" s="44" customFormat="1" ht="24" customHeight="1">
      <c r="A574" s="80" t="s">
        <v>65</v>
      </c>
      <c r="B574" s="270" t="s">
        <v>279</v>
      </c>
      <c r="C574" s="226"/>
      <c r="D574" s="226"/>
      <c r="E574" s="231">
        <f>SUM(E575:E599)</f>
        <v>7.4999999999999973</v>
      </c>
      <c r="F574" s="381">
        <f t="shared" ref="F574:Z574" si="215">SUM(F575:F599)</f>
        <v>0</v>
      </c>
      <c r="G574" s="381">
        <f t="shared" si="215"/>
        <v>7.4999999999999973</v>
      </c>
      <c r="H574" s="381">
        <f t="shared" si="215"/>
        <v>0</v>
      </c>
      <c r="I574" s="381">
        <f t="shared" si="215"/>
        <v>0</v>
      </c>
      <c r="J574" s="381">
        <f t="shared" si="215"/>
        <v>0</v>
      </c>
      <c r="K574" s="381">
        <f t="shared" si="215"/>
        <v>0</v>
      </c>
      <c r="L574" s="407">
        <f t="shared" si="215"/>
        <v>0</v>
      </c>
      <c r="M574" s="381">
        <f t="shared" si="215"/>
        <v>0</v>
      </c>
      <c r="N574" s="381">
        <f t="shared" si="215"/>
        <v>0</v>
      </c>
      <c r="O574" s="381">
        <f t="shared" si="215"/>
        <v>7.4999999999999973</v>
      </c>
      <c r="P574" s="381">
        <f t="shared" si="215"/>
        <v>0</v>
      </c>
      <c r="Q574" s="381">
        <f t="shared" si="215"/>
        <v>0</v>
      </c>
      <c r="R574" s="381">
        <f t="shared" si="215"/>
        <v>0</v>
      </c>
      <c r="S574" s="381">
        <f t="shared" si="215"/>
        <v>0</v>
      </c>
      <c r="T574" s="381">
        <f t="shared" si="215"/>
        <v>0</v>
      </c>
      <c r="U574" s="381">
        <f t="shared" si="215"/>
        <v>0</v>
      </c>
      <c r="V574" s="381">
        <f t="shared" si="215"/>
        <v>0</v>
      </c>
      <c r="W574" s="381">
        <f t="shared" si="215"/>
        <v>0</v>
      </c>
      <c r="X574" s="381">
        <f t="shared" si="215"/>
        <v>0</v>
      </c>
      <c r="Y574" s="236">
        <f t="shared" si="215"/>
        <v>750000</v>
      </c>
      <c r="Z574" s="236">
        <f t="shared" si="215"/>
        <v>4500000</v>
      </c>
    </row>
    <row r="575" spans="1:26" s="44" customFormat="1" ht="24" customHeight="1">
      <c r="A575" s="89">
        <v>1</v>
      </c>
      <c r="B575" s="72" t="s">
        <v>261</v>
      </c>
      <c r="C575" s="226"/>
      <c r="D575" s="226"/>
      <c r="E575" s="228">
        <f t="shared" ref="E575:E599" si="216">+F575+G575+X575</f>
        <v>0.3</v>
      </c>
      <c r="F575" s="385"/>
      <c r="G575" s="376">
        <f t="shared" si="206"/>
        <v>0.3</v>
      </c>
      <c r="H575" s="377"/>
      <c r="I575" s="382"/>
      <c r="J575" s="377"/>
      <c r="K575" s="377"/>
      <c r="L575" s="383"/>
      <c r="M575" s="377"/>
      <c r="N575" s="377"/>
      <c r="O575" s="377">
        <v>0.3</v>
      </c>
      <c r="P575" s="377"/>
      <c r="Q575" s="377"/>
      <c r="R575" s="377"/>
      <c r="S575" s="377"/>
      <c r="T575" s="377">
        <f t="shared" si="199"/>
        <v>0</v>
      </c>
      <c r="U575" s="377"/>
      <c r="V575" s="376"/>
      <c r="W575" s="377"/>
      <c r="X575" s="377">
        <f t="shared" ref="X575:X599" si="217">(F575+I575+J575+K575)*22.5/100</f>
        <v>0</v>
      </c>
      <c r="Y575" s="222">
        <f t="shared" si="210"/>
        <v>30000</v>
      </c>
      <c r="Z575" s="223">
        <f t="shared" si="205"/>
        <v>180000</v>
      </c>
    </row>
    <row r="576" spans="1:26" s="44" customFormat="1" ht="24" customHeight="1">
      <c r="A576" s="89">
        <v>2</v>
      </c>
      <c r="B576" s="72" t="s">
        <v>262</v>
      </c>
      <c r="C576" s="226"/>
      <c r="D576" s="226"/>
      <c r="E576" s="228">
        <f t="shared" si="216"/>
        <v>0.3</v>
      </c>
      <c r="F576" s="385"/>
      <c r="G576" s="376">
        <f t="shared" si="206"/>
        <v>0.3</v>
      </c>
      <c r="H576" s="377"/>
      <c r="I576" s="382"/>
      <c r="J576" s="377"/>
      <c r="K576" s="377"/>
      <c r="L576" s="383"/>
      <c r="M576" s="377"/>
      <c r="N576" s="377"/>
      <c r="O576" s="377">
        <v>0.3</v>
      </c>
      <c r="P576" s="377"/>
      <c r="Q576" s="377"/>
      <c r="R576" s="377"/>
      <c r="S576" s="377"/>
      <c r="T576" s="377">
        <f t="shared" si="199"/>
        <v>0</v>
      </c>
      <c r="U576" s="377"/>
      <c r="V576" s="376"/>
      <c r="W576" s="377"/>
      <c r="X576" s="377">
        <f t="shared" si="217"/>
        <v>0</v>
      </c>
      <c r="Y576" s="222">
        <f t="shared" si="210"/>
        <v>30000</v>
      </c>
      <c r="Z576" s="223">
        <f t="shared" si="205"/>
        <v>180000</v>
      </c>
    </row>
    <row r="577" spans="1:26" s="44" customFormat="1" ht="24" customHeight="1">
      <c r="A577" s="89">
        <v>3</v>
      </c>
      <c r="B577" s="72" t="s">
        <v>263</v>
      </c>
      <c r="C577" s="226"/>
      <c r="D577" s="226"/>
      <c r="E577" s="228">
        <f t="shared" si="216"/>
        <v>0.3</v>
      </c>
      <c r="F577" s="385"/>
      <c r="G577" s="376">
        <f t="shared" si="206"/>
        <v>0.3</v>
      </c>
      <c r="H577" s="377"/>
      <c r="I577" s="382"/>
      <c r="J577" s="377"/>
      <c r="K577" s="377"/>
      <c r="L577" s="383"/>
      <c r="M577" s="377"/>
      <c r="N577" s="377"/>
      <c r="O577" s="377">
        <v>0.3</v>
      </c>
      <c r="P577" s="377"/>
      <c r="Q577" s="377"/>
      <c r="R577" s="377"/>
      <c r="S577" s="377"/>
      <c r="T577" s="377">
        <f t="shared" si="199"/>
        <v>0</v>
      </c>
      <c r="U577" s="377"/>
      <c r="V577" s="376"/>
      <c r="W577" s="377"/>
      <c r="X577" s="377">
        <f t="shared" si="217"/>
        <v>0</v>
      </c>
      <c r="Y577" s="222">
        <f t="shared" si="210"/>
        <v>30000</v>
      </c>
      <c r="Z577" s="223">
        <f t="shared" si="205"/>
        <v>180000</v>
      </c>
    </row>
    <row r="578" spans="1:26" s="44" customFormat="1" ht="24" customHeight="1">
      <c r="A578" s="89">
        <v>4</v>
      </c>
      <c r="B578" s="72" t="s">
        <v>264</v>
      </c>
      <c r="C578" s="226"/>
      <c r="D578" s="226"/>
      <c r="E578" s="228">
        <f t="shared" si="216"/>
        <v>0.3</v>
      </c>
      <c r="F578" s="385"/>
      <c r="G578" s="376">
        <f t="shared" si="206"/>
        <v>0.3</v>
      </c>
      <c r="H578" s="377"/>
      <c r="I578" s="382"/>
      <c r="J578" s="377"/>
      <c r="K578" s="377"/>
      <c r="L578" s="383"/>
      <c r="M578" s="377"/>
      <c r="N578" s="377"/>
      <c r="O578" s="377">
        <v>0.3</v>
      </c>
      <c r="P578" s="377"/>
      <c r="Q578" s="377"/>
      <c r="R578" s="377"/>
      <c r="S578" s="377"/>
      <c r="T578" s="377">
        <f t="shared" si="199"/>
        <v>0</v>
      </c>
      <c r="U578" s="377"/>
      <c r="V578" s="376"/>
      <c r="W578" s="377"/>
      <c r="X578" s="377">
        <f t="shared" si="217"/>
        <v>0</v>
      </c>
      <c r="Y578" s="222">
        <f t="shared" si="210"/>
        <v>30000</v>
      </c>
      <c r="Z578" s="223">
        <f t="shared" si="205"/>
        <v>180000</v>
      </c>
    </row>
    <row r="579" spans="1:26" s="44" customFormat="1" ht="24" customHeight="1">
      <c r="A579" s="89">
        <v>5</v>
      </c>
      <c r="B579" s="72" t="s">
        <v>265</v>
      </c>
      <c r="C579" s="226"/>
      <c r="D579" s="226"/>
      <c r="E579" s="228">
        <f t="shared" si="216"/>
        <v>0.3</v>
      </c>
      <c r="F579" s="385"/>
      <c r="G579" s="376">
        <f t="shared" si="206"/>
        <v>0.3</v>
      </c>
      <c r="H579" s="377"/>
      <c r="I579" s="382"/>
      <c r="J579" s="377"/>
      <c r="K579" s="377"/>
      <c r="L579" s="383"/>
      <c r="M579" s="377"/>
      <c r="N579" s="377"/>
      <c r="O579" s="377">
        <v>0.3</v>
      </c>
      <c r="P579" s="377"/>
      <c r="Q579" s="377"/>
      <c r="R579" s="377"/>
      <c r="S579" s="377"/>
      <c r="T579" s="377">
        <f t="shared" si="199"/>
        <v>0</v>
      </c>
      <c r="U579" s="377"/>
      <c r="V579" s="376"/>
      <c r="W579" s="377"/>
      <c r="X579" s="377">
        <f t="shared" si="217"/>
        <v>0</v>
      </c>
      <c r="Y579" s="222">
        <f t="shared" si="210"/>
        <v>30000</v>
      </c>
      <c r="Z579" s="223">
        <f t="shared" si="205"/>
        <v>180000</v>
      </c>
    </row>
    <row r="580" spans="1:26" s="44" customFormat="1" ht="24" customHeight="1">
      <c r="A580" s="89">
        <v>6</v>
      </c>
      <c r="B580" s="72" t="s">
        <v>257</v>
      </c>
      <c r="C580" s="226"/>
      <c r="D580" s="226"/>
      <c r="E580" s="228">
        <f t="shared" si="216"/>
        <v>0.3</v>
      </c>
      <c r="F580" s="385"/>
      <c r="G580" s="376">
        <f t="shared" si="206"/>
        <v>0.3</v>
      </c>
      <c r="H580" s="377"/>
      <c r="I580" s="382"/>
      <c r="J580" s="377"/>
      <c r="K580" s="377"/>
      <c r="L580" s="383"/>
      <c r="M580" s="377"/>
      <c r="N580" s="377"/>
      <c r="O580" s="377">
        <v>0.3</v>
      </c>
      <c r="P580" s="377"/>
      <c r="Q580" s="377"/>
      <c r="R580" s="377"/>
      <c r="S580" s="377"/>
      <c r="T580" s="377">
        <f t="shared" si="199"/>
        <v>0</v>
      </c>
      <c r="U580" s="377"/>
      <c r="V580" s="376"/>
      <c r="W580" s="377"/>
      <c r="X580" s="377">
        <f t="shared" si="217"/>
        <v>0</v>
      </c>
      <c r="Y580" s="222">
        <f t="shared" si="210"/>
        <v>30000</v>
      </c>
      <c r="Z580" s="223">
        <f t="shared" si="205"/>
        <v>180000</v>
      </c>
    </row>
    <row r="581" spans="1:26" s="44" customFormat="1" ht="24" customHeight="1">
      <c r="A581" s="89">
        <v>7</v>
      </c>
      <c r="B581" s="72" t="s">
        <v>253</v>
      </c>
      <c r="C581" s="226"/>
      <c r="D581" s="226"/>
      <c r="E581" s="228">
        <f t="shared" si="216"/>
        <v>0.3</v>
      </c>
      <c r="F581" s="385"/>
      <c r="G581" s="376">
        <f t="shared" si="206"/>
        <v>0.3</v>
      </c>
      <c r="H581" s="377"/>
      <c r="I581" s="382"/>
      <c r="J581" s="377"/>
      <c r="K581" s="377"/>
      <c r="L581" s="383"/>
      <c r="M581" s="377"/>
      <c r="N581" s="377"/>
      <c r="O581" s="377">
        <v>0.3</v>
      </c>
      <c r="P581" s="377"/>
      <c r="Q581" s="377"/>
      <c r="R581" s="377"/>
      <c r="S581" s="377"/>
      <c r="T581" s="377">
        <f t="shared" si="199"/>
        <v>0</v>
      </c>
      <c r="U581" s="377"/>
      <c r="V581" s="376"/>
      <c r="W581" s="377"/>
      <c r="X581" s="377">
        <f t="shared" si="217"/>
        <v>0</v>
      </c>
      <c r="Y581" s="222">
        <f t="shared" si="210"/>
        <v>30000</v>
      </c>
      <c r="Z581" s="223">
        <f t="shared" si="205"/>
        <v>180000</v>
      </c>
    </row>
    <row r="582" spans="1:26" s="44" customFormat="1" ht="24" customHeight="1">
      <c r="A582" s="89">
        <v>8</v>
      </c>
      <c r="B582" s="72" t="s">
        <v>252</v>
      </c>
      <c r="C582" s="226"/>
      <c r="D582" s="226"/>
      <c r="E582" s="228">
        <f t="shared" si="216"/>
        <v>0.3</v>
      </c>
      <c r="F582" s="385"/>
      <c r="G582" s="376">
        <f t="shared" si="206"/>
        <v>0.3</v>
      </c>
      <c r="H582" s="377"/>
      <c r="I582" s="382"/>
      <c r="J582" s="377"/>
      <c r="K582" s="377"/>
      <c r="L582" s="383"/>
      <c r="M582" s="377"/>
      <c r="N582" s="377"/>
      <c r="O582" s="377">
        <v>0.3</v>
      </c>
      <c r="P582" s="377"/>
      <c r="Q582" s="377"/>
      <c r="R582" s="377"/>
      <c r="S582" s="377"/>
      <c r="T582" s="377">
        <f t="shared" si="199"/>
        <v>0</v>
      </c>
      <c r="U582" s="377"/>
      <c r="V582" s="376"/>
      <c r="W582" s="377"/>
      <c r="X582" s="377">
        <f t="shared" si="217"/>
        <v>0</v>
      </c>
      <c r="Y582" s="222">
        <f t="shared" si="210"/>
        <v>30000</v>
      </c>
      <c r="Z582" s="223">
        <f t="shared" si="205"/>
        <v>180000</v>
      </c>
    </row>
    <row r="583" spans="1:26" s="44" customFormat="1" ht="24" customHeight="1">
      <c r="A583" s="89">
        <v>9</v>
      </c>
      <c r="B583" s="72" t="s">
        <v>255</v>
      </c>
      <c r="C583" s="226"/>
      <c r="D583" s="226"/>
      <c r="E583" s="228">
        <f t="shared" si="216"/>
        <v>0.3</v>
      </c>
      <c r="F583" s="385"/>
      <c r="G583" s="376">
        <f t="shared" si="206"/>
        <v>0.3</v>
      </c>
      <c r="H583" s="377"/>
      <c r="I583" s="382"/>
      <c r="J583" s="377"/>
      <c r="K583" s="377"/>
      <c r="L583" s="383"/>
      <c r="M583" s="377"/>
      <c r="N583" s="377"/>
      <c r="O583" s="377">
        <v>0.3</v>
      </c>
      <c r="P583" s="377"/>
      <c r="Q583" s="377"/>
      <c r="R583" s="377"/>
      <c r="S583" s="377"/>
      <c r="T583" s="377">
        <f t="shared" si="199"/>
        <v>0</v>
      </c>
      <c r="U583" s="377"/>
      <c r="V583" s="376"/>
      <c r="W583" s="377"/>
      <c r="X583" s="377">
        <f t="shared" si="217"/>
        <v>0</v>
      </c>
      <c r="Y583" s="222">
        <f t="shared" si="210"/>
        <v>30000</v>
      </c>
      <c r="Z583" s="223">
        <f t="shared" si="205"/>
        <v>180000</v>
      </c>
    </row>
    <row r="584" spans="1:26" s="44" customFormat="1" ht="24" customHeight="1">
      <c r="A584" s="89">
        <v>10</v>
      </c>
      <c r="B584" s="72" t="s">
        <v>250</v>
      </c>
      <c r="C584" s="226"/>
      <c r="D584" s="226"/>
      <c r="E584" s="228">
        <f t="shared" si="216"/>
        <v>0.3</v>
      </c>
      <c r="F584" s="385"/>
      <c r="G584" s="376">
        <f t="shared" si="206"/>
        <v>0.3</v>
      </c>
      <c r="H584" s="377"/>
      <c r="I584" s="382"/>
      <c r="J584" s="377"/>
      <c r="K584" s="377"/>
      <c r="L584" s="383"/>
      <c r="M584" s="377"/>
      <c r="N584" s="377"/>
      <c r="O584" s="377">
        <v>0.3</v>
      </c>
      <c r="P584" s="377"/>
      <c r="Q584" s="377"/>
      <c r="R584" s="377"/>
      <c r="S584" s="377"/>
      <c r="T584" s="377">
        <f t="shared" si="199"/>
        <v>0</v>
      </c>
      <c r="U584" s="377"/>
      <c r="V584" s="376"/>
      <c r="W584" s="377"/>
      <c r="X584" s="377">
        <f t="shared" si="217"/>
        <v>0</v>
      </c>
      <c r="Y584" s="222">
        <f t="shared" si="210"/>
        <v>30000</v>
      </c>
      <c r="Z584" s="223">
        <f t="shared" si="205"/>
        <v>180000</v>
      </c>
    </row>
    <row r="585" spans="1:26" s="44" customFormat="1" ht="24" customHeight="1">
      <c r="A585" s="89">
        <v>11</v>
      </c>
      <c r="B585" s="72" t="s">
        <v>266</v>
      </c>
      <c r="C585" s="226"/>
      <c r="D585" s="226"/>
      <c r="E585" s="228">
        <f t="shared" si="216"/>
        <v>0.3</v>
      </c>
      <c r="F585" s="385"/>
      <c r="G585" s="376">
        <f t="shared" si="206"/>
        <v>0.3</v>
      </c>
      <c r="H585" s="377"/>
      <c r="I585" s="382"/>
      <c r="J585" s="377"/>
      <c r="K585" s="377"/>
      <c r="L585" s="383"/>
      <c r="M585" s="377"/>
      <c r="N585" s="377"/>
      <c r="O585" s="377">
        <v>0.3</v>
      </c>
      <c r="P585" s="377"/>
      <c r="Q585" s="377"/>
      <c r="R585" s="377"/>
      <c r="S585" s="377"/>
      <c r="T585" s="377">
        <f t="shared" si="199"/>
        <v>0</v>
      </c>
      <c r="U585" s="377"/>
      <c r="V585" s="376"/>
      <c r="W585" s="377"/>
      <c r="X585" s="377">
        <f t="shared" si="217"/>
        <v>0</v>
      </c>
      <c r="Y585" s="222">
        <f t="shared" si="210"/>
        <v>30000</v>
      </c>
      <c r="Z585" s="223">
        <f t="shared" si="205"/>
        <v>180000</v>
      </c>
    </row>
    <row r="586" spans="1:26" s="44" customFormat="1" ht="24" customHeight="1">
      <c r="A586" s="89">
        <v>12</v>
      </c>
      <c r="B586" s="72" t="s">
        <v>267</v>
      </c>
      <c r="C586" s="226"/>
      <c r="D586" s="226"/>
      <c r="E586" s="228">
        <f t="shared" si="216"/>
        <v>0.3</v>
      </c>
      <c r="F586" s="385"/>
      <c r="G586" s="376">
        <f t="shared" si="206"/>
        <v>0.3</v>
      </c>
      <c r="H586" s="377"/>
      <c r="I586" s="382"/>
      <c r="J586" s="377"/>
      <c r="K586" s="377"/>
      <c r="L586" s="383"/>
      <c r="M586" s="377"/>
      <c r="N586" s="377"/>
      <c r="O586" s="377">
        <v>0.3</v>
      </c>
      <c r="P586" s="377"/>
      <c r="Q586" s="377"/>
      <c r="R586" s="377"/>
      <c r="S586" s="377"/>
      <c r="T586" s="377">
        <f t="shared" si="199"/>
        <v>0</v>
      </c>
      <c r="U586" s="377"/>
      <c r="V586" s="376"/>
      <c r="W586" s="377"/>
      <c r="X586" s="377">
        <f t="shared" si="217"/>
        <v>0</v>
      </c>
      <c r="Y586" s="222">
        <f t="shared" si="210"/>
        <v>30000</v>
      </c>
      <c r="Z586" s="223">
        <f t="shared" si="205"/>
        <v>180000</v>
      </c>
    </row>
    <row r="587" spans="1:26" s="44" customFormat="1" ht="24" customHeight="1">
      <c r="A587" s="89">
        <v>13</v>
      </c>
      <c r="B587" s="72" t="s">
        <v>268</v>
      </c>
      <c r="C587" s="226"/>
      <c r="D587" s="226"/>
      <c r="E587" s="228">
        <f t="shared" si="216"/>
        <v>0.3</v>
      </c>
      <c r="F587" s="385"/>
      <c r="G587" s="376">
        <f t="shared" si="206"/>
        <v>0.3</v>
      </c>
      <c r="H587" s="377"/>
      <c r="I587" s="382"/>
      <c r="J587" s="377"/>
      <c r="K587" s="377"/>
      <c r="L587" s="383"/>
      <c r="M587" s="377"/>
      <c r="N587" s="377"/>
      <c r="O587" s="377">
        <v>0.3</v>
      </c>
      <c r="P587" s="377"/>
      <c r="Q587" s="377"/>
      <c r="R587" s="377"/>
      <c r="S587" s="377"/>
      <c r="T587" s="377">
        <f t="shared" si="199"/>
        <v>0</v>
      </c>
      <c r="U587" s="377"/>
      <c r="V587" s="376"/>
      <c r="W587" s="377"/>
      <c r="X587" s="377">
        <f t="shared" si="217"/>
        <v>0</v>
      </c>
      <c r="Y587" s="222">
        <f t="shared" si="210"/>
        <v>30000</v>
      </c>
      <c r="Z587" s="223">
        <f t="shared" si="205"/>
        <v>180000</v>
      </c>
    </row>
    <row r="588" spans="1:26" s="44" customFormat="1" ht="24" customHeight="1">
      <c r="A588" s="89">
        <v>14</v>
      </c>
      <c r="B588" s="72" t="s">
        <v>269</v>
      </c>
      <c r="C588" s="226"/>
      <c r="D588" s="226"/>
      <c r="E588" s="228">
        <f t="shared" si="216"/>
        <v>0.3</v>
      </c>
      <c r="F588" s="385"/>
      <c r="G588" s="376">
        <f t="shared" si="206"/>
        <v>0.3</v>
      </c>
      <c r="H588" s="377"/>
      <c r="I588" s="382"/>
      <c r="J588" s="377"/>
      <c r="K588" s="377"/>
      <c r="L588" s="383"/>
      <c r="M588" s="377"/>
      <c r="N588" s="377"/>
      <c r="O588" s="377">
        <v>0.3</v>
      </c>
      <c r="P588" s="377"/>
      <c r="Q588" s="377"/>
      <c r="R588" s="377"/>
      <c r="S588" s="377"/>
      <c r="T588" s="377">
        <f t="shared" si="199"/>
        <v>0</v>
      </c>
      <c r="U588" s="377"/>
      <c r="V588" s="376"/>
      <c r="W588" s="377"/>
      <c r="X588" s="377">
        <f t="shared" si="217"/>
        <v>0</v>
      </c>
      <c r="Y588" s="222">
        <f t="shared" si="210"/>
        <v>30000</v>
      </c>
      <c r="Z588" s="223">
        <f t="shared" si="205"/>
        <v>180000</v>
      </c>
    </row>
    <row r="589" spans="1:26" s="44" customFormat="1" ht="24" customHeight="1">
      <c r="A589" s="89">
        <v>15</v>
      </c>
      <c r="B589" s="72" t="s">
        <v>270</v>
      </c>
      <c r="C589" s="226"/>
      <c r="D589" s="226"/>
      <c r="E589" s="228">
        <f t="shared" si="216"/>
        <v>0.3</v>
      </c>
      <c r="F589" s="385"/>
      <c r="G589" s="376">
        <f t="shared" si="206"/>
        <v>0.3</v>
      </c>
      <c r="H589" s="377"/>
      <c r="I589" s="382"/>
      <c r="J589" s="377"/>
      <c r="K589" s="377"/>
      <c r="L589" s="383"/>
      <c r="M589" s="377"/>
      <c r="N589" s="377"/>
      <c r="O589" s="377">
        <v>0.3</v>
      </c>
      <c r="P589" s="377"/>
      <c r="Q589" s="377"/>
      <c r="R589" s="377"/>
      <c r="S589" s="377"/>
      <c r="T589" s="377">
        <f t="shared" ref="T589:T653" si="218">(F589+I589+J589)*25/100</f>
        <v>0</v>
      </c>
      <c r="U589" s="377"/>
      <c r="V589" s="376"/>
      <c r="W589" s="377"/>
      <c r="X589" s="377">
        <f t="shared" si="217"/>
        <v>0</v>
      </c>
      <c r="Y589" s="222">
        <f t="shared" si="210"/>
        <v>30000</v>
      </c>
      <c r="Z589" s="223">
        <f t="shared" si="205"/>
        <v>180000</v>
      </c>
    </row>
    <row r="590" spans="1:26" s="44" customFormat="1" ht="24" customHeight="1">
      <c r="A590" s="89">
        <v>16</v>
      </c>
      <c r="B590" s="72" t="s">
        <v>271</v>
      </c>
      <c r="C590" s="226"/>
      <c r="D590" s="226"/>
      <c r="E590" s="228">
        <f t="shared" si="216"/>
        <v>0.3</v>
      </c>
      <c r="F590" s="385"/>
      <c r="G590" s="376">
        <f t="shared" si="206"/>
        <v>0.3</v>
      </c>
      <c r="H590" s="377"/>
      <c r="I590" s="382"/>
      <c r="J590" s="377"/>
      <c r="K590" s="377"/>
      <c r="L590" s="383"/>
      <c r="M590" s="377"/>
      <c r="N590" s="377"/>
      <c r="O590" s="377">
        <v>0.3</v>
      </c>
      <c r="P590" s="377"/>
      <c r="Q590" s="377"/>
      <c r="R590" s="377"/>
      <c r="S590" s="377"/>
      <c r="T590" s="377">
        <f t="shared" si="218"/>
        <v>0</v>
      </c>
      <c r="U590" s="377"/>
      <c r="V590" s="376"/>
      <c r="W590" s="377"/>
      <c r="X590" s="377">
        <f t="shared" si="217"/>
        <v>0</v>
      </c>
      <c r="Y590" s="222">
        <f t="shared" si="210"/>
        <v>30000</v>
      </c>
      <c r="Z590" s="223">
        <f t="shared" si="205"/>
        <v>180000</v>
      </c>
    </row>
    <row r="591" spans="1:26" s="44" customFormat="1" ht="24" customHeight="1">
      <c r="A591" s="89">
        <v>17</v>
      </c>
      <c r="B591" s="72" t="s">
        <v>272</v>
      </c>
      <c r="C591" s="226"/>
      <c r="D591" s="226"/>
      <c r="E591" s="228">
        <f t="shared" si="216"/>
        <v>0.3</v>
      </c>
      <c r="F591" s="385"/>
      <c r="G591" s="376">
        <f t="shared" si="206"/>
        <v>0.3</v>
      </c>
      <c r="H591" s="377"/>
      <c r="I591" s="382"/>
      <c r="J591" s="377"/>
      <c r="K591" s="377"/>
      <c r="L591" s="383"/>
      <c r="M591" s="377"/>
      <c r="N591" s="377"/>
      <c r="O591" s="377">
        <v>0.3</v>
      </c>
      <c r="P591" s="377"/>
      <c r="Q591" s="377"/>
      <c r="R591" s="377"/>
      <c r="S591" s="377"/>
      <c r="T591" s="377">
        <f t="shared" si="218"/>
        <v>0</v>
      </c>
      <c r="U591" s="377"/>
      <c r="V591" s="376"/>
      <c r="W591" s="377"/>
      <c r="X591" s="377">
        <f t="shared" si="217"/>
        <v>0</v>
      </c>
      <c r="Y591" s="222">
        <f t="shared" si="210"/>
        <v>30000</v>
      </c>
      <c r="Z591" s="223">
        <f t="shared" si="205"/>
        <v>180000</v>
      </c>
    </row>
    <row r="592" spans="1:26" s="44" customFormat="1" ht="24" customHeight="1">
      <c r="A592" s="89">
        <v>18</v>
      </c>
      <c r="B592" s="72" t="s">
        <v>105</v>
      </c>
      <c r="C592" s="226"/>
      <c r="D592" s="226"/>
      <c r="E592" s="228">
        <f t="shared" si="216"/>
        <v>0.3</v>
      </c>
      <c r="F592" s="385"/>
      <c r="G592" s="376">
        <f t="shared" si="206"/>
        <v>0.3</v>
      </c>
      <c r="H592" s="377"/>
      <c r="I592" s="382"/>
      <c r="J592" s="377"/>
      <c r="K592" s="377"/>
      <c r="L592" s="383"/>
      <c r="M592" s="377"/>
      <c r="N592" s="377"/>
      <c r="O592" s="377">
        <v>0.3</v>
      </c>
      <c r="P592" s="377"/>
      <c r="Q592" s="377"/>
      <c r="R592" s="377"/>
      <c r="S592" s="377"/>
      <c r="T592" s="377">
        <f t="shared" si="218"/>
        <v>0</v>
      </c>
      <c r="U592" s="377"/>
      <c r="V592" s="376"/>
      <c r="W592" s="377"/>
      <c r="X592" s="377">
        <f t="shared" si="217"/>
        <v>0</v>
      </c>
      <c r="Y592" s="222">
        <f t="shared" si="210"/>
        <v>30000</v>
      </c>
      <c r="Z592" s="223">
        <f t="shared" si="205"/>
        <v>180000</v>
      </c>
    </row>
    <row r="593" spans="1:26" s="44" customFormat="1" ht="24" customHeight="1">
      <c r="A593" s="89">
        <v>19</v>
      </c>
      <c r="B593" s="72" t="s">
        <v>258</v>
      </c>
      <c r="C593" s="226"/>
      <c r="D593" s="226"/>
      <c r="E593" s="228">
        <f t="shared" si="216"/>
        <v>0.3</v>
      </c>
      <c r="F593" s="385"/>
      <c r="G593" s="376">
        <f t="shared" si="206"/>
        <v>0.3</v>
      </c>
      <c r="H593" s="377"/>
      <c r="I593" s="382"/>
      <c r="J593" s="377"/>
      <c r="K593" s="377"/>
      <c r="L593" s="383"/>
      <c r="M593" s="377"/>
      <c r="N593" s="377"/>
      <c r="O593" s="377">
        <v>0.3</v>
      </c>
      <c r="P593" s="377"/>
      <c r="Q593" s="377"/>
      <c r="R593" s="377"/>
      <c r="S593" s="377"/>
      <c r="T593" s="377">
        <f t="shared" si="218"/>
        <v>0</v>
      </c>
      <c r="U593" s="377"/>
      <c r="V593" s="376"/>
      <c r="W593" s="377"/>
      <c r="X593" s="377">
        <f t="shared" si="217"/>
        <v>0</v>
      </c>
      <c r="Y593" s="222">
        <f t="shared" si="210"/>
        <v>30000</v>
      </c>
      <c r="Z593" s="223">
        <f t="shared" si="205"/>
        <v>180000</v>
      </c>
    </row>
    <row r="594" spans="1:26" s="44" customFormat="1" ht="24" customHeight="1">
      <c r="A594" s="89">
        <v>20</v>
      </c>
      <c r="B594" s="72" t="s">
        <v>273</v>
      </c>
      <c r="C594" s="226"/>
      <c r="D594" s="226"/>
      <c r="E594" s="228">
        <f t="shared" si="216"/>
        <v>0.3</v>
      </c>
      <c r="F594" s="385"/>
      <c r="G594" s="376">
        <f t="shared" si="206"/>
        <v>0.3</v>
      </c>
      <c r="H594" s="377"/>
      <c r="I594" s="382"/>
      <c r="J594" s="377"/>
      <c r="K594" s="377"/>
      <c r="L594" s="383"/>
      <c r="M594" s="377"/>
      <c r="N594" s="377"/>
      <c r="O594" s="377">
        <v>0.3</v>
      </c>
      <c r="P594" s="377"/>
      <c r="Q594" s="377"/>
      <c r="R594" s="377"/>
      <c r="S594" s="377"/>
      <c r="T594" s="377">
        <f t="shared" si="218"/>
        <v>0</v>
      </c>
      <c r="U594" s="377"/>
      <c r="V594" s="376"/>
      <c r="W594" s="377"/>
      <c r="X594" s="377">
        <f t="shared" si="217"/>
        <v>0</v>
      </c>
      <c r="Y594" s="222">
        <f t="shared" si="210"/>
        <v>30000</v>
      </c>
      <c r="Z594" s="223">
        <f t="shared" si="205"/>
        <v>180000</v>
      </c>
    </row>
    <row r="595" spans="1:26" s="44" customFormat="1" ht="24" customHeight="1">
      <c r="A595" s="89">
        <v>21</v>
      </c>
      <c r="B595" s="72" t="s">
        <v>274</v>
      </c>
      <c r="C595" s="226"/>
      <c r="D595" s="226"/>
      <c r="E595" s="228">
        <f t="shared" si="216"/>
        <v>0.3</v>
      </c>
      <c r="F595" s="385"/>
      <c r="G595" s="376">
        <f t="shared" si="206"/>
        <v>0.3</v>
      </c>
      <c r="H595" s="377"/>
      <c r="I595" s="382"/>
      <c r="J595" s="377"/>
      <c r="K595" s="377"/>
      <c r="L595" s="383"/>
      <c r="M595" s="377"/>
      <c r="N595" s="377"/>
      <c r="O595" s="377">
        <v>0.3</v>
      </c>
      <c r="P595" s="377"/>
      <c r="Q595" s="377"/>
      <c r="R595" s="377"/>
      <c r="S595" s="377"/>
      <c r="T595" s="377">
        <f t="shared" si="218"/>
        <v>0</v>
      </c>
      <c r="U595" s="377"/>
      <c r="V595" s="376"/>
      <c r="W595" s="377"/>
      <c r="X595" s="377">
        <f t="shared" si="217"/>
        <v>0</v>
      </c>
      <c r="Y595" s="222">
        <f t="shared" si="210"/>
        <v>30000</v>
      </c>
      <c r="Z595" s="223">
        <f t="shared" si="205"/>
        <v>180000</v>
      </c>
    </row>
    <row r="596" spans="1:26" s="44" customFormat="1" ht="24" customHeight="1">
      <c r="A596" s="89">
        <v>22</v>
      </c>
      <c r="B596" s="72" t="s">
        <v>275</v>
      </c>
      <c r="C596" s="226"/>
      <c r="D596" s="226"/>
      <c r="E596" s="228">
        <f t="shared" si="216"/>
        <v>0.3</v>
      </c>
      <c r="F596" s="385"/>
      <c r="G596" s="376">
        <f t="shared" si="206"/>
        <v>0.3</v>
      </c>
      <c r="H596" s="377"/>
      <c r="I596" s="382"/>
      <c r="J596" s="377"/>
      <c r="K596" s="377"/>
      <c r="L596" s="383"/>
      <c r="M596" s="377"/>
      <c r="N596" s="377"/>
      <c r="O596" s="377">
        <v>0.3</v>
      </c>
      <c r="P596" s="377"/>
      <c r="Q596" s="377"/>
      <c r="R596" s="377"/>
      <c r="S596" s="377"/>
      <c r="T596" s="377">
        <f t="shared" si="218"/>
        <v>0</v>
      </c>
      <c r="U596" s="377"/>
      <c r="V596" s="376"/>
      <c r="W596" s="377"/>
      <c r="X596" s="377">
        <f t="shared" si="217"/>
        <v>0</v>
      </c>
      <c r="Y596" s="222">
        <f t="shared" si="210"/>
        <v>30000</v>
      </c>
      <c r="Z596" s="223">
        <f t="shared" si="205"/>
        <v>180000</v>
      </c>
    </row>
    <row r="597" spans="1:26" s="44" customFormat="1" ht="24" customHeight="1">
      <c r="A597" s="89">
        <v>23</v>
      </c>
      <c r="B597" s="72" t="s">
        <v>276</v>
      </c>
      <c r="C597" s="226"/>
      <c r="D597" s="226"/>
      <c r="E597" s="228">
        <f t="shared" si="216"/>
        <v>0.3</v>
      </c>
      <c r="F597" s="385"/>
      <c r="G597" s="376">
        <f t="shared" si="206"/>
        <v>0.3</v>
      </c>
      <c r="H597" s="377"/>
      <c r="I597" s="382"/>
      <c r="J597" s="377"/>
      <c r="K597" s="377"/>
      <c r="L597" s="383"/>
      <c r="M597" s="377"/>
      <c r="N597" s="377"/>
      <c r="O597" s="377">
        <v>0.3</v>
      </c>
      <c r="P597" s="377"/>
      <c r="Q597" s="377"/>
      <c r="R597" s="377"/>
      <c r="S597" s="377"/>
      <c r="T597" s="377">
        <f t="shared" si="218"/>
        <v>0</v>
      </c>
      <c r="U597" s="377"/>
      <c r="V597" s="376"/>
      <c r="W597" s="377"/>
      <c r="X597" s="377">
        <f t="shared" si="217"/>
        <v>0</v>
      </c>
      <c r="Y597" s="222">
        <f t="shared" si="210"/>
        <v>30000</v>
      </c>
      <c r="Z597" s="223">
        <f t="shared" si="205"/>
        <v>180000</v>
      </c>
    </row>
    <row r="598" spans="1:26" s="44" customFormat="1" ht="24" customHeight="1">
      <c r="A598" s="89">
        <v>24</v>
      </c>
      <c r="B598" s="72" t="s">
        <v>277</v>
      </c>
      <c r="C598" s="226"/>
      <c r="D598" s="226"/>
      <c r="E598" s="228">
        <f t="shared" si="216"/>
        <v>0.3</v>
      </c>
      <c r="F598" s="385"/>
      <c r="G598" s="376">
        <f t="shared" si="206"/>
        <v>0.3</v>
      </c>
      <c r="H598" s="377"/>
      <c r="I598" s="382"/>
      <c r="J598" s="377"/>
      <c r="K598" s="377"/>
      <c r="L598" s="383"/>
      <c r="M598" s="377"/>
      <c r="N598" s="377"/>
      <c r="O598" s="377">
        <v>0.3</v>
      </c>
      <c r="P598" s="377"/>
      <c r="Q598" s="377"/>
      <c r="R598" s="377"/>
      <c r="S598" s="377"/>
      <c r="T598" s="377">
        <f t="shared" si="218"/>
        <v>0</v>
      </c>
      <c r="U598" s="377"/>
      <c r="V598" s="376"/>
      <c r="W598" s="377"/>
      <c r="X598" s="377">
        <f t="shared" si="217"/>
        <v>0</v>
      </c>
      <c r="Y598" s="222">
        <f t="shared" si="210"/>
        <v>30000</v>
      </c>
      <c r="Z598" s="223">
        <f t="shared" si="205"/>
        <v>180000</v>
      </c>
    </row>
    <row r="599" spans="1:26" s="44" customFormat="1" ht="24" customHeight="1">
      <c r="A599" s="89">
        <v>25</v>
      </c>
      <c r="B599" s="72" t="s">
        <v>278</v>
      </c>
      <c r="C599" s="226"/>
      <c r="D599" s="226"/>
      <c r="E599" s="228">
        <f t="shared" si="216"/>
        <v>0.3</v>
      </c>
      <c r="F599" s="385"/>
      <c r="G599" s="376">
        <f t="shared" si="206"/>
        <v>0.3</v>
      </c>
      <c r="H599" s="377"/>
      <c r="I599" s="382"/>
      <c r="J599" s="377"/>
      <c r="K599" s="377"/>
      <c r="L599" s="383"/>
      <c r="M599" s="377"/>
      <c r="N599" s="377"/>
      <c r="O599" s="377">
        <v>0.3</v>
      </c>
      <c r="P599" s="377"/>
      <c r="Q599" s="377"/>
      <c r="R599" s="377"/>
      <c r="S599" s="377"/>
      <c r="T599" s="377">
        <f t="shared" si="218"/>
        <v>0</v>
      </c>
      <c r="U599" s="377"/>
      <c r="V599" s="376"/>
      <c r="W599" s="377"/>
      <c r="X599" s="377">
        <f t="shared" si="217"/>
        <v>0</v>
      </c>
      <c r="Y599" s="222">
        <f t="shared" si="210"/>
        <v>30000</v>
      </c>
      <c r="Z599" s="223">
        <f t="shared" si="205"/>
        <v>180000</v>
      </c>
    </row>
    <row r="600" spans="1:26" s="44" customFormat="1" ht="24" customHeight="1">
      <c r="A600" s="80" t="s">
        <v>614</v>
      </c>
      <c r="B600" s="45" t="s">
        <v>468</v>
      </c>
      <c r="C600" s="229">
        <v>21</v>
      </c>
      <c r="D600" s="229">
        <v>15</v>
      </c>
      <c r="E600" s="231">
        <f>E601+E611+E618+E621+E630</f>
        <v>111.68150000000001</v>
      </c>
      <c r="F600" s="381">
        <f t="shared" ref="F600:X600" si="219">F601+F611+F618+F621+F630</f>
        <v>77.100000000000009</v>
      </c>
      <c r="G600" s="381">
        <f t="shared" si="219"/>
        <v>25.108999999999998</v>
      </c>
      <c r="H600" s="381">
        <f t="shared" si="219"/>
        <v>0</v>
      </c>
      <c r="I600" s="381">
        <f t="shared" si="219"/>
        <v>1.6999999999999995</v>
      </c>
      <c r="J600" s="381">
        <f t="shared" si="219"/>
        <v>0</v>
      </c>
      <c r="K600" s="381">
        <f t="shared" si="219"/>
        <v>0</v>
      </c>
      <c r="L600" s="407">
        <f t="shared" si="219"/>
        <v>2.2840000000000003</v>
      </c>
      <c r="M600" s="381">
        <f t="shared" si="219"/>
        <v>0</v>
      </c>
      <c r="N600" s="381">
        <f t="shared" si="219"/>
        <v>2.4</v>
      </c>
      <c r="O600" s="381">
        <f t="shared" si="219"/>
        <v>8.0999999999999979</v>
      </c>
      <c r="P600" s="381">
        <f t="shared" si="219"/>
        <v>0</v>
      </c>
      <c r="Q600" s="381">
        <f t="shared" si="219"/>
        <v>0</v>
      </c>
      <c r="R600" s="381">
        <f t="shared" si="219"/>
        <v>0</v>
      </c>
      <c r="S600" s="381">
        <f t="shared" si="219"/>
        <v>0</v>
      </c>
      <c r="T600" s="381">
        <f t="shared" si="219"/>
        <v>10.524999999999999</v>
      </c>
      <c r="U600" s="381">
        <f t="shared" si="219"/>
        <v>0</v>
      </c>
      <c r="V600" s="381">
        <f t="shared" si="219"/>
        <v>0.1</v>
      </c>
      <c r="W600" s="381">
        <f t="shared" si="219"/>
        <v>0</v>
      </c>
      <c r="X600" s="395">
        <f t="shared" si="219"/>
        <v>9.4725000000000001</v>
      </c>
      <c r="Y600" s="236">
        <f>Y601+Y611+Y618+Y621+Y630</f>
        <v>11168150</v>
      </c>
      <c r="Z600" s="236">
        <f>Z601+Z611+Z618+Z621+Z630</f>
        <v>67008900</v>
      </c>
    </row>
    <row r="601" spans="1:26" s="44" customFormat="1" ht="24" customHeight="1">
      <c r="A601" s="83" t="s">
        <v>2</v>
      </c>
      <c r="B601" s="84" t="s">
        <v>339</v>
      </c>
      <c r="C601" s="247"/>
      <c r="D601" s="247"/>
      <c r="E601" s="248">
        <f>SUM(E602:E610)</f>
        <v>39.594250000000002</v>
      </c>
      <c r="F601" s="396">
        <f>SUM(F602:F610)</f>
        <v>23.69</v>
      </c>
      <c r="G601" s="396">
        <f t="shared" ref="G601:X601" si="220">SUM(G602:G610)</f>
        <v>10.191500000000001</v>
      </c>
      <c r="H601" s="396">
        <f t="shared" si="220"/>
        <v>0</v>
      </c>
      <c r="I601" s="396">
        <f t="shared" si="220"/>
        <v>1.6999999999999995</v>
      </c>
      <c r="J601" s="396">
        <f t="shared" si="220"/>
        <v>0</v>
      </c>
      <c r="K601" s="396">
        <f t="shared" si="220"/>
        <v>0</v>
      </c>
      <c r="L601" s="408">
        <f t="shared" si="220"/>
        <v>2.1440000000000001</v>
      </c>
      <c r="M601" s="396">
        <f t="shared" si="220"/>
        <v>0</v>
      </c>
      <c r="N601" s="396">
        <f t="shared" si="220"/>
        <v>0</v>
      </c>
      <c r="O601" s="396">
        <f t="shared" si="220"/>
        <v>0</v>
      </c>
      <c r="P601" s="396">
        <f t="shared" si="220"/>
        <v>0</v>
      </c>
      <c r="Q601" s="396">
        <f t="shared" si="220"/>
        <v>0</v>
      </c>
      <c r="R601" s="396">
        <f t="shared" si="220"/>
        <v>0</v>
      </c>
      <c r="S601" s="396">
        <f t="shared" si="220"/>
        <v>0</v>
      </c>
      <c r="T601" s="396">
        <f t="shared" si="220"/>
        <v>6.3474999999999993</v>
      </c>
      <c r="U601" s="396">
        <f t="shared" si="220"/>
        <v>0</v>
      </c>
      <c r="V601" s="396">
        <f t="shared" si="220"/>
        <v>0</v>
      </c>
      <c r="W601" s="396">
        <f t="shared" si="220"/>
        <v>0</v>
      </c>
      <c r="X601" s="398">
        <f t="shared" si="220"/>
        <v>5.7127500000000007</v>
      </c>
      <c r="Y601" s="250">
        <f>SUM(Y602:Y610)</f>
        <v>3959425</v>
      </c>
      <c r="Z601" s="250">
        <f>SUM(Z602:Z610)</f>
        <v>23756550</v>
      </c>
    </row>
    <row r="602" spans="1:26" s="44" customFormat="1" ht="24" customHeight="1">
      <c r="A602" s="86">
        <v>1</v>
      </c>
      <c r="B602" s="251" t="s">
        <v>397</v>
      </c>
      <c r="C602" s="252"/>
      <c r="D602" s="252"/>
      <c r="E602" s="228">
        <f t="shared" ref="E602:E610" si="221">+F602+G602+X602</f>
        <v>5.8722500000000002</v>
      </c>
      <c r="F602" s="400">
        <v>2.66</v>
      </c>
      <c r="G602" s="376">
        <f t="shared" si="206"/>
        <v>2.5575000000000001</v>
      </c>
      <c r="H602" s="377"/>
      <c r="I602" s="400">
        <v>0.25</v>
      </c>
      <c r="J602" s="377"/>
      <c r="K602" s="377"/>
      <c r="L602" s="385">
        <f>F602*0.5+I602</f>
        <v>1.58</v>
      </c>
      <c r="M602" s="377"/>
      <c r="N602" s="377"/>
      <c r="O602" s="382"/>
      <c r="P602" s="377"/>
      <c r="Q602" s="377"/>
      <c r="R602" s="377"/>
      <c r="S602" s="377"/>
      <c r="T602" s="377">
        <f>(F602+I602+J602)*25/100</f>
        <v>0.72750000000000004</v>
      </c>
      <c r="U602" s="377"/>
      <c r="V602" s="376"/>
      <c r="W602" s="377"/>
      <c r="X602" s="377">
        <f t="shared" ref="X602:X610" si="222">(F602+I602+J602+K602)*22.5/100</f>
        <v>0.65475000000000005</v>
      </c>
      <c r="Y602" s="222">
        <f t="shared" si="210"/>
        <v>587225</v>
      </c>
      <c r="Z602" s="223">
        <f t="shared" ref="Z602:Z665" si="223">Y602*6</f>
        <v>3523350</v>
      </c>
    </row>
    <row r="603" spans="1:26" s="44" customFormat="1" ht="24" customHeight="1">
      <c r="A603" s="86">
        <v>2</v>
      </c>
      <c r="B603" s="77" t="s">
        <v>398</v>
      </c>
      <c r="C603" s="253"/>
      <c r="D603" s="253"/>
      <c r="E603" s="228">
        <f t="shared" si="221"/>
        <v>4.3070000000000004</v>
      </c>
      <c r="F603" s="400">
        <v>2.67</v>
      </c>
      <c r="G603" s="376">
        <f t="shared" si="206"/>
        <v>0.98</v>
      </c>
      <c r="H603" s="377"/>
      <c r="I603" s="400">
        <v>0.25</v>
      </c>
      <c r="J603" s="377"/>
      <c r="K603" s="377"/>
      <c r="L603" s="383"/>
      <c r="M603" s="377"/>
      <c r="N603" s="377"/>
      <c r="O603" s="382"/>
      <c r="P603" s="377"/>
      <c r="Q603" s="377"/>
      <c r="R603" s="377"/>
      <c r="S603" s="377"/>
      <c r="T603" s="377">
        <f t="shared" si="218"/>
        <v>0.73</v>
      </c>
      <c r="U603" s="377"/>
      <c r="V603" s="376"/>
      <c r="W603" s="377"/>
      <c r="X603" s="377">
        <f t="shared" si="222"/>
        <v>0.65700000000000003</v>
      </c>
      <c r="Y603" s="222">
        <f t="shared" si="210"/>
        <v>430700.00000000006</v>
      </c>
      <c r="Z603" s="223">
        <f t="shared" si="223"/>
        <v>2584200.0000000005</v>
      </c>
    </row>
    <row r="604" spans="1:26" s="44" customFormat="1" ht="24" customHeight="1">
      <c r="A604" s="86">
        <v>3</v>
      </c>
      <c r="B604" s="77" t="s">
        <v>399</v>
      </c>
      <c r="C604" s="252"/>
      <c r="D604" s="252"/>
      <c r="E604" s="228">
        <f t="shared" si="221"/>
        <v>4.23325</v>
      </c>
      <c r="F604" s="400">
        <v>2.67</v>
      </c>
      <c r="G604" s="376">
        <f t="shared" si="206"/>
        <v>0.91749999999999998</v>
      </c>
      <c r="H604" s="377"/>
      <c r="I604" s="400">
        <v>0.2</v>
      </c>
      <c r="J604" s="377"/>
      <c r="K604" s="377"/>
      <c r="L604" s="383"/>
      <c r="M604" s="377"/>
      <c r="N604" s="377"/>
      <c r="O604" s="382"/>
      <c r="P604" s="377"/>
      <c r="Q604" s="377"/>
      <c r="R604" s="377"/>
      <c r="S604" s="377"/>
      <c r="T604" s="377">
        <f t="shared" si="218"/>
        <v>0.71750000000000003</v>
      </c>
      <c r="U604" s="377"/>
      <c r="V604" s="376"/>
      <c r="W604" s="377"/>
      <c r="X604" s="377">
        <f t="shared" si="222"/>
        <v>0.64575000000000005</v>
      </c>
      <c r="Y604" s="222">
        <f t="shared" si="210"/>
        <v>423325</v>
      </c>
      <c r="Z604" s="223">
        <f t="shared" si="223"/>
        <v>2539950</v>
      </c>
    </row>
    <row r="605" spans="1:26" s="44" customFormat="1" ht="24" customHeight="1">
      <c r="A605" s="86">
        <v>4</v>
      </c>
      <c r="B605" s="77" t="s">
        <v>400</v>
      </c>
      <c r="C605" s="252"/>
      <c r="D605" s="252"/>
      <c r="E605" s="228">
        <f t="shared" si="221"/>
        <v>4.23325</v>
      </c>
      <c r="F605" s="400">
        <v>2.67</v>
      </c>
      <c r="G605" s="376">
        <f t="shared" si="206"/>
        <v>0.91749999999999998</v>
      </c>
      <c r="H605" s="377"/>
      <c r="I605" s="400">
        <v>0.2</v>
      </c>
      <c r="J605" s="377"/>
      <c r="K605" s="377"/>
      <c r="L605" s="383"/>
      <c r="M605" s="377"/>
      <c r="N605" s="377"/>
      <c r="O605" s="382"/>
      <c r="P605" s="377"/>
      <c r="Q605" s="377"/>
      <c r="R605" s="377"/>
      <c r="S605" s="377"/>
      <c r="T605" s="377">
        <f t="shared" si="218"/>
        <v>0.71750000000000003</v>
      </c>
      <c r="U605" s="377"/>
      <c r="V605" s="376"/>
      <c r="W605" s="377"/>
      <c r="X605" s="377">
        <f t="shared" si="222"/>
        <v>0.64575000000000005</v>
      </c>
      <c r="Y605" s="222">
        <f t="shared" si="210"/>
        <v>423325</v>
      </c>
      <c r="Z605" s="223">
        <f t="shared" si="223"/>
        <v>2539950</v>
      </c>
    </row>
    <row r="606" spans="1:26" s="44" customFormat="1" ht="24" customHeight="1">
      <c r="A606" s="86">
        <v>5</v>
      </c>
      <c r="B606" s="251" t="s">
        <v>401</v>
      </c>
      <c r="C606" s="252"/>
      <c r="D606" s="252"/>
      <c r="E606" s="228">
        <f t="shared" si="221"/>
        <v>4.6462500000000002</v>
      </c>
      <c r="F606" s="400">
        <v>3</v>
      </c>
      <c r="G606" s="376">
        <f t="shared" si="206"/>
        <v>0.9375</v>
      </c>
      <c r="H606" s="377"/>
      <c r="I606" s="400">
        <v>0.15</v>
      </c>
      <c r="J606" s="377"/>
      <c r="K606" s="377"/>
      <c r="L606" s="383"/>
      <c r="M606" s="377"/>
      <c r="N606" s="377"/>
      <c r="O606" s="382"/>
      <c r="P606" s="377"/>
      <c r="Q606" s="377"/>
      <c r="R606" s="377"/>
      <c r="S606" s="377"/>
      <c r="T606" s="377">
        <f t="shared" si="218"/>
        <v>0.78749999999999998</v>
      </c>
      <c r="U606" s="377"/>
      <c r="V606" s="376"/>
      <c r="W606" s="377"/>
      <c r="X606" s="377">
        <f t="shared" si="222"/>
        <v>0.70874999999999999</v>
      </c>
      <c r="Y606" s="222">
        <f t="shared" si="210"/>
        <v>464625</v>
      </c>
      <c r="Z606" s="223">
        <f t="shared" si="223"/>
        <v>2787750</v>
      </c>
    </row>
    <row r="607" spans="1:26" s="44" customFormat="1" ht="24" customHeight="1">
      <c r="A607" s="86">
        <v>6</v>
      </c>
      <c r="B607" s="251" t="s">
        <v>402</v>
      </c>
      <c r="C607" s="252"/>
      <c r="D607" s="252"/>
      <c r="E607" s="228">
        <f t="shared" si="221"/>
        <v>4.9612499999999997</v>
      </c>
      <c r="F607" s="400">
        <v>3</v>
      </c>
      <c r="G607" s="376">
        <f t="shared" si="206"/>
        <v>1.2524999999999999</v>
      </c>
      <c r="H607" s="377"/>
      <c r="I607" s="400">
        <v>0.15</v>
      </c>
      <c r="J607" s="377"/>
      <c r="K607" s="377"/>
      <c r="L607" s="385">
        <f>(F607+I607)*10%</f>
        <v>0.315</v>
      </c>
      <c r="M607" s="377"/>
      <c r="N607" s="377"/>
      <c r="O607" s="382"/>
      <c r="P607" s="377"/>
      <c r="Q607" s="377"/>
      <c r="R607" s="377"/>
      <c r="S607" s="377"/>
      <c r="T607" s="377">
        <f t="shared" si="218"/>
        <v>0.78749999999999998</v>
      </c>
      <c r="U607" s="377"/>
      <c r="V607" s="376"/>
      <c r="W607" s="377"/>
      <c r="X607" s="377">
        <f t="shared" si="222"/>
        <v>0.70874999999999999</v>
      </c>
      <c r="Y607" s="222">
        <f t="shared" si="210"/>
        <v>496125</v>
      </c>
      <c r="Z607" s="223">
        <f t="shared" si="223"/>
        <v>2976750</v>
      </c>
    </row>
    <row r="608" spans="1:26" s="44" customFormat="1" ht="24" customHeight="1">
      <c r="A608" s="86">
        <v>7</v>
      </c>
      <c r="B608" s="77" t="s">
        <v>403</v>
      </c>
      <c r="C608" s="252"/>
      <c r="D608" s="252"/>
      <c r="E608" s="228">
        <f t="shared" si="221"/>
        <v>3.6727499999999997</v>
      </c>
      <c r="F608" s="400">
        <v>2.34</v>
      </c>
      <c r="G608" s="376">
        <f t="shared" si="206"/>
        <v>0.77249999999999996</v>
      </c>
      <c r="H608" s="377"/>
      <c r="I608" s="400">
        <v>0.15</v>
      </c>
      <c r="J608" s="377"/>
      <c r="K608" s="377"/>
      <c r="L608" s="383"/>
      <c r="M608" s="377"/>
      <c r="N608" s="377"/>
      <c r="O608" s="382"/>
      <c r="P608" s="377"/>
      <c r="Q608" s="377"/>
      <c r="R608" s="377"/>
      <c r="S608" s="377"/>
      <c r="T608" s="377">
        <f t="shared" si="218"/>
        <v>0.62249999999999994</v>
      </c>
      <c r="U608" s="377"/>
      <c r="V608" s="376"/>
      <c r="W608" s="377"/>
      <c r="X608" s="377">
        <f t="shared" si="222"/>
        <v>0.56024999999999991</v>
      </c>
      <c r="Y608" s="222">
        <f t="shared" si="210"/>
        <v>367275</v>
      </c>
      <c r="Z608" s="223">
        <f t="shared" si="223"/>
        <v>2203650</v>
      </c>
    </row>
    <row r="609" spans="1:26" s="44" customFormat="1" ht="24" customHeight="1">
      <c r="A609" s="86">
        <v>8</v>
      </c>
      <c r="B609" s="77" t="s">
        <v>705</v>
      </c>
      <c r="C609" s="252"/>
      <c r="D609" s="252"/>
      <c r="E609" s="228">
        <f t="shared" si="221"/>
        <v>3.7464999999999997</v>
      </c>
      <c r="F609" s="400">
        <v>2.34</v>
      </c>
      <c r="G609" s="376">
        <f t="shared" ref="G609:G673" si="224">+SUM(H609:W609)</f>
        <v>0.83499999999999996</v>
      </c>
      <c r="H609" s="377"/>
      <c r="I609" s="400">
        <v>0.2</v>
      </c>
      <c r="J609" s="377"/>
      <c r="K609" s="377"/>
      <c r="L609" s="383"/>
      <c r="M609" s="377"/>
      <c r="N609" s="377"/>
      <c r="O609" s="382"/>
      <c r="P609" s="377"/>
      <c r="Q609" s="377"/>
      <c r="R609" s="377"/>
      <c r="S609" s="377"/>
      <c r="T609" s="377">
        <f t="shared" si="218"/>
        <v>0.63500000000000001</v>
      </c>
      <c r="U609" s="377"/>
      <c r="V609" s="376"/>
      <c r="W609" s="377"/>
      <c r="X609" s="377">
        <f t="shared" si="222"/>
        <v>0.57150000000000001</v>
      </c>
      <c r="Y609" s="222">
        <f t="shared" si="210"/>
        <v>374650</v>
      </c>
      <c r="Z609" s="223">
        <f t="shared" si="223"/>
        <v>2247900</v>
      </c>
    </row>
    <row r="610" spans="1:26" s="44" customFormat="1" ht="24" customHeight="1">
      <c r="A610" s="86">
        <v>9</v>
      </c>
      <c r="B610" s="77" t="s">
        <v>404</v>
      </c>
      <c r="C610" s="252"/>
      <c r="D610" s="252"/>
      <c r="E610" s="228">
        <f t="shared" si="221"/>
        <v>3.9217499999999998</v>
      </c>
      <c r="F610" s="400">
        <v>2.34</v>
      </c>
      <c r="G610" s="376">
        <f t="shared" si="224"/>
        <v>1.0215000000000001</v>
      </c>
      <c r="H610" s="377"/>
      <c r="I610" s="400">
        <v>0.15</v>
      </c>
      <c r="J610" s="377"/>
      <c r="K610" s="377"/>
      <c r="L610" s="385">
        <f>(F610+I610)*10%</f>
        <v>0.249</v>
      </c>
      <c r="M610" s="377"/>
      <c r="N610" s="377"/>
      <c r="O610" s="382"/>
      <c r="P610" s="377"/>
      <c r="Q610" s="377"/>
      <c r="R610" s="377"/>
      <c r="S610" s="377"/>
      <c r="T610" s="377">
        <f t="shared" si="218"/>
        <v>0.62249999999999994</v>
      </c>
      <c r="U610" s="377"/>
      <c r="V610" s="376"/>
      <c r="W610" s="377"/>
      <c r="X610" s="377">
        <f t="shared" si="222"/>
        <v>0.56024999999999991</v>
      </c>
      <c r="Y610" s="222">
        <f t="shared" si="210"/>
        <v>392175</v>
      </c>
      <c r="Z610" s="223">
        <f t="shared" si="223"/>
        <v>2353050</v>
      </c>
    </row>
    <row r="611" spans="1:26" s="44" customFormat="1" ht="24" customHeight="1">
      <c r="A611" s="83" t="s">
        <v>3</v>
      </c>
      <c r="B611" s="271" t="s">
        <v>152</v>
      </c>
      <c r="C611" s="247"/>
      <c r="D611" s="247"/>
      <c r="E611" s="249">
        <f>SUM(E612:E617)</f>
        <v>24.747250000000005</v>
      </c>
      <c r="F611" s="398">
        <f>SUM(F612:F617)</f>
        <v>16.71</v>
      </c>
      <c r="G611" s="398">
        <f t="shared" ref="G611:Z611" si="225">SUM(G612:G617)</f>
        <v>4.2774999999999999</v>
      </c>
      <c r="H611" s="398">
        <f t="shared" si="225"/>
        <v>0</v>
      </c>
      <c r="I611" s="398">
        <f t="shared" si="225"/>
        <v>0</v>
      </c>
      <c r="J611" s="398">
        <f t="shared" si="225"/>
        <v>0</v>
      </c>
      <c r="K611" s="398">
        <f t="shared" si="225"/>
        <v>0</v>
      </c>
      <c r="L611" s="408">
        <f t="shared" si="225"/>
        <v>0</v>
      </c>
      <c r="M611" s="398">
        <f t="shared" si="225"/>
        <v>0</v>
      </c>
      <c r="N611" s="398">
        <f t="shared" si="225"/>
        <v>0</v>
      </c>
      <c r="O611" s="398">
        <f t="shared" si="225"/>
        <v>0</v>
      </c>
      <c r="P611" s="398">
        <f t="shared" si="225"/>
        <v>0</v>
      </c>
      <c r="Q611" s="398">
        <f t="shared" si="225"/>
        <v>0</v>
      </c>
      <c r="R611" s="398">
        <f t="shared" si="225"/>
        <v>0</v>
      </c>
      <c r="S611" s="398">
        <f t="shared" si="225"/>
        <v>0</v>
      </c>
      <c r="T611" s="398">
        <f t="shared" si="225"/>
        <v>4.1775000000000002</v>
      </c>
      <c r="U611" s="398">
        <f t="shared" si="225"/>
        <v>0</v>
      </c>
      <c r="V611" s="398">
        <f t="shared" si="225"/>
        <v>0.1</v>
      </c>
      <c r="W611" s="398">
        <f t="shared" si="225"/>
        <v>0</v>
      </c>
      <c r="X611" s="398">
        <f t="shared" si="225"/>
        <v>3.7597500000000004</v>
      </c>
      <c r="Y611" s="272">
        <f t="shared" si="225"/>
        <v>2474725</v>
      </c>
      <c r="Z611" s="272">
        <f t="shared" si="225"/>
        <v>14848350</v>
      </c>
    </row>
    <row r="612" spans="1:26" s="44" customFormat="1" ht="24" customHeight="1">
      <c r="A612" s="86">
        <v>1</v>
      </c>
      <c r="B612" s="251" t="s">
        <v>405</v>
      </c>
      <c r="C612" s="252"/>
      <c r="D612" s="252"/>
      <c r="E612" s="228">
        <f t="shared" ref="E612:E617" si="226">+F612+G612+X612</f>
        <v>3.0385</v>
      </c>
      <c r="F612" s="400">
        <v>2.06</v>
      </c>
      <c r="G612" s="376">
        <f t="shared" si="224"/>
        <v>0.51500000000000001</v>
      </c>
      <c r="H612" s="377"/>
      <c r="I612" s="400"/>
      <c r="J612" s="377"/>
      <c r="K612" s="377"/>
      <c r="L612" s="383"/>
      <c r="M612" s="377"/>
      <c r="N612" s="377"/>
      <c r="O612" s="382"/>
      <c r="P612" s="377"/>
      <c r="Q612" s="377"/>
      <c r="R612" s="377"/>
      <c r="S612" s="377"/>
      <c r="T612" s="377">
        <f t="shared" si="218"/>
        <v>0.51500000000000001</v>
      </c>
      <c r="U612" s="377"/>
      <c r="V612" s="376"/>
      <c r="W612" s="377"/>
      <c r="X612" s="377">
        <f t="shared" ref="X612:X617" si="227">(F612+I612+J612+K612)*22.5/100</f>
        <v>0.46350000000000002</v>
      </c>
      <c r="Y612" s="222">
        <f t="shared" ref="Y612:Y675" si="228">E612*100000</f>
        <v>303850</v>
      </c>
      <c r="Z612" s="223">
        <f t="shared" si="223"/>
        <v>1823100</v>
      </c>
    </row>
    <row r="613" spans="1:26" s="44" customFormat="1" ht="24" customHeight="1">
      <c r="A613" s="86">
        <v>2</v>
      </c>
      <c r="B613" s="77" t="s">
        <v>406</v>
      </c>
      <c r="C613" s="252"/>
      <c r="D613" s="252"/>
      <c r="E613" s="228">
        <f t="shared" si="226"/>
        <v>3.93825</v>
      </c>
      <c r="F613" s="400">
        <v>2.67</v>
      </c>
      <c r="G613" s="376">
        <f t="shared" si="224"/>
        <v>0.66749999999999998</v>
      </c>
      <c r="H613" s="377"/>
      <c r="I613" s="400"/>
      <c r="J613" s="377"/>
      <c r="K613" s="377"/>
      <c r="L613" s="383"/>
      <c r="M613" s="377"/>
      <c r="N613" s="377"/>
      <c r="O613" s="382"/>
      <c r="P613" s="377"/>
      <c r="Q613" s="377"/>
      <c r="R613" s="377"/>
      <c r="S613" s="377"/>
      <c r="T613" s="377">
        <f t="shared" si="218"/>
        <v>0.66749999999999998</v>
      </c>
      <c r="U613" s="377"/>
      <c r="V613" s="376"/>
      <c r="W613" s="377"/>
      <c r="X613" s="377">
        <f t="shared" si="227"/>
        <v>0.60075000000000001</v>
      </c>
      <c r="Y613" s="222">
        <f t="shared" si="228"/>
        <v>393825</v>
      </c>
      <c r="Z613" s="223">
        <f t="shared" si="223"/>
        <v>2362950</v>
      </c>
    </row>
    <row r="614" spans="1:26" s="44" customFormat="1" ht="24" customHeight="1">
      <c r="A614" s="86">
        <v>3</v>
      </c>
      <c r="B614" s="77" t="s">
        <v>407</v>
      </c>
      <c r="C614" s="252"/>
      <c r="D614" s="252"/>
      <c r="E614" s="228">
        <f t="shared" si="226"/>
        <v>5.3985000000000003</v>
      </c>
      <c r="F614" s="400">
        <v>3.66</v>
      </c>
      <c r="G614" s="376">
        <f t="shared" si="224"/>
        <v>0.91500000000000004</v>
      </c>
      <c r="H614" s="377"/>
      <c r="I614" s="400"/>
      <c r="J614" s="377"/>
      <c r="K614" s="377"/>
      <c r="L614" s="383"/>
      <c r="M614" s="377"/>
      <c r="N614" s="377"/>
      <c r="O614" s="382"/>
      <c r="P614" s="377"/>
      <c r="Q614" s="377"/>
      <c r="R614" s="377"/>
      <c r="S614" s="377"/>
      <c r="T614" s="377">
        <f t="shared" si="218"/>
        <v>0.91500000000000004</v>
      </c>
      <c r="U614" s="377"/>
      <c r="V614" s="376"/>
      <c r="W614" s="377"/>
      <c r="X614" s="377">
        <f t="shared" si="227"/>
        <v>0.82350000000000012</v>
      </c>
      <c r="Y614" s="222">
        <f t="shared" si="228"/>
        <v>539850</v>
      </c>
      <c r="Z614" s="223">
        <f t="shared" si="223"/>
        <v>3239100</v>
      </c>
    </row>
    <row r="615" spans="1:26" s="44" customFormat="1" ht="24" customHeight="1">
      <c r="A615" s="86">
        <v>4</v>
      </c>
      <c r="B615" s="251" t="s">
        <v>408</v>
      </c>
      <c r="C615" s="252"/>
      <c r="D615" s="252"/>
      <c r="E615" s="228">
        <f t="shared" si="226"/>
        <v>3.9235000000000002</v>
      </c>
      <c r="F615" s="400">
        <v>2.66</v>
      </c>
      <c r="G615" s="376">
        <f t="shared" si="224"/>
        <v>0.66500000000000004</v>
      </c>
      <c r="H615" s="377"/>
      <c r="I615" s="400"/>
      <c r="J615" s="377"/>
      <c r="K615" s="377"/>
      <c r="L615" s="383"/>
      <c r="M615" s="377"/>
      <c r="N615" s="377"/>
      <c r="O615" s="382"/>
      <c r="P615" s="377"/>
      <c r="Q615" s="377"/>
      <c r="R615" s="377"/>
      <c r="S615" s="377"/>
      <c r="T615" s="377">
        <f t="shared" si="218"/>
        <v>0.66500000000000004</v>
      </c>
      <c r="U615" s="377"/>
      <c r="V615" s="376"/>
      <c r="W615" s="377"/>
      <c r="X615" s="377">
        <f t="shared" si="227"/>
        <v>0.59850000000000003</v>
      </c>
      <c r="Y615" s="222">
        <f t="shared" si="228"/>
        <v>392350</v>
      </c>
      <c r="Z615" s="223">
        <f t="shared" si="223"/>
        <v>2354100</v>
      </c>
    </row>
    <row r="616" spans="1:26" s="44" customFormat="1" ht="24" customHeight="1">
      <c r="A616" s="86">
        <v>5</v>
      </c>
      <c r="B616" s="251" t="s">
        <v>409</v>
      </c>
      <c r="C616" s="252"/>
      <c r="D616" s="252"/>
      <c r="E616" s="228">
        <f t="shared" si="226"/>
        <v>4.0235000000000003</v>
      </c>
      <c r="F616" s="400">
        <v>2.66</v>
      </c>
      <c r="G616" s="376">
        <f t="shared" si="224"/>
        <v>0.76500000000000001</v>
      </c>
      <c r="H616" s="377"/>
      <c r="I616" s="400"/>
      <c r="J616" s="377"/>
      <c r="K616" s="377"/>
      <c r="L616" s="383"/>
      <c r="M616" s="377"/>
      <c r="N616" s="377"/>
      <c r="O616" s="382"/>
      <c r="P616" s="377"/>
      <c r="Q616" s="377"/>
      <c r="R616" s="377"/>
      <c r="S616" s="377"/>
      <c r="T616" s="377">
        <f t="shared" si="218"/>
        <v>0.66500000000000004</v>
      </c>
      <c r="U616" s="377"/>
      <c r="V616" s="376">
        <v>0.1</v>
      </c>
      <c r="W616" s="377"/>
      <c r="X616" s="377">
        <f t="shared" si="227"/>
        <v>0.59850000000000003</v>
      </c>
      <c r="Y616" s="222">
        <f t="shared" si="228"/>
        <v>402350.00000000006</v>
      </c>
      <c r="Z616" s="223">
        <f t="shared" si="223"/>
        <v>2414100.0000000005</v>
      </c>
    </row>
    <row r="617" spans="1:26" s="44" customFormat="1" ht="24" customHeight="1">
      <c r="A617" s="86">
        <v>6</v>
      </c>
      <c r="B617" s="77" t="s">
        <v>410</v>
      </c>
      <c r="C617" s="252"/>
      <c r="D617" s="252"/>
      <c r="E617" s="228">
        <f t="shared" si="226"/>
        <v>4.4249999999999998</v>
      </c>
      <c r="F617" s="400">
        <v>3</v>
      </c>
      <c r="G617" s="376">
        <f t="shared" si="224"/>
        <v>0.75</v>
      </c>
      <c r="H617" s="377"/>
      <c r="I617" s="400"/>
      <c r="J617" s="377"/>
      <c r="K617" s="377"/>
      <c r="L617" s="383"/>
      <c r="M617" s="377"/>
      <c r="N617" s="377"/>
      <c r="O617" s="382"/>
      <c r="P617" s="377"/>
      <c r="Q617" s="377"/>
      <c r="R617" s="377"/>
      <c r="S617" s="377"/>
      <c r="T617" s="377">
        <f t="shared" si="218"/>
        <v>0.75</v>
      </c>
      <c r="U617" s="377"/>
      <c r="V617" s="376"/>
      <c r="W617" s="377"/>
      <c r="X617" s="377">
        <f t="shared" si="227"/>
        <v>0.67500000000000004</v>
      </c>
      <c r="Y617" s="222">
        <f t="shared" si="228"/>
        <v>442500</v>
      </c>
      <c r="Z617" s="223">
        <f t="shared" si="223"/>
        <v>2655000</v>
      </c>
    </row>
    <row r="618" spans="1:26" s="44" customFormat="1" ht="34.15" customHeight="1">
      <c r="A618" s="87" t="s">
        <v>4</v>
      </c>
      <c r="B618" s="256" t="s">
        <v>332</v>
      </c>
      <c r="C618" s="226"/>
      <c r="D618" s="226"/>
      <c r="E618" s="231">
        <f t="shared" ref="E618:Z618" si="229">E619+E620</f>
        <v>36.700000000000003</v>
      </c>
      <c r="F618" s="381">
        <f t="shared" si="229"/>
        <v>36.700000000000003</v>
      </c>
      <c r="G618" s="381">
        <f t="shared" si="229"/>
        <v>0</v>
      </c>
      <c r="H618" s="381">
        <f t="shared" si="229"/>
        <v>0</v>
      </c>
      <c r="I618" s="381">
        <f t="shared" si="229"/>
        <v>0</v>
      </c>
      <c r="J618" s="381">
        <f t="shared" si="229"/>
        <v>0</v>
      </c>
      <c r="K618" s="381">
        <f t="shared" si="229"/>
        <v>0</v>
      </c>
      <c r="L618" s="407">
        <f t="shared" si="229"/>
        <v>0</v>
      </c>
      <c r="M618" s="381">
        <f t="shared" si="229"/>
        <v>0</v>
      </c>
      <c r="N618" s="381">
        <f t="shared" si="229"/>
        <v>0</v>
      </c>
      <c r="O618" s="381">
        <f t="shared" si="229"/>
        <v>0</v>
      </c>
      <c r="P618" s="381">
        <f t="shared" si="229"/>
        <v>0</v>
      </c>
      <c r="Q618" s="381">
        <f t="shared" si="229"/>
        <v>0</v>
      </c>
      <c r="R618" s="381">
        <f t="shared" si="229"/>
        <v>0</v>
      </c>
      <c r="S618" s="381">
        <f t="shared" si="229"/>
        <v>0</v>
      </c>
      <c r="T618" s="381">
        <f t="shared" si="229"/>
        <v>0</v>
      </c>
      <c r="U618" s="381">
        <f t="shared" si="229"/>
        <v>0</v>
      </c>
      <c r="V618" s="381">
        <f t="shared" si="229"/>
        <v>0</v>
      </c>
      <c r="W618" s="381">
        <f t="shared" si="229"/>
        <v>0</v>
      </c>
      <c r="X618" s="381">
        <f t="shared" si="229"/>
        <v>0</v>
      </c>
      <c r="Y618" s="232">
        <f t="shared" si="229"/>
        <v>3670000</v>
      </c>
      <c r="Z618" s="232">
        <f t="shared" si="229"/>
        <v>22020000</v>
      </c>
    </row>
    <row r="619" spans="1:26" s="44" customFormat="1" ht="24" customHeight="1">
      <c r="A619" s="88">
        <v>1</v>
      </c>
      <c r="B619" s="260" t="s">
        <v>355</v>
      </c>
      <c r="C619" s="261">
        <v>12</v>
      </c>
      <c r="D619" s="226"/>
      <c r="E619" s="228">
        <f>+F619+G619+X619</f>
        <v>13.7</v>
      </c>
      <c r="F619" s="375">
        <v>13.7</v>
      </c>
      <c r="G619" s="376">
        <f t="shared" si="224"/>
        <v>0</v>
      </c>
      <c r="H619" s="377"/>
      <c r="I619" s="382"/>
      <c r="J619" s="377"/>
      <c r="K619" s="377"/>
      <c r="L619" s="383"/>
      <c r="M619" s="377"/>
      <c r="N619" s="377"/>
      <c r="O619" s="382"/>
      <c r="P619" s="377"/>
      <c r="Q619" s="377"/>
      <c r="R619" s="377"/>
      <c r="S619" s="377"/>
      <c r="T619" s="377"/>
      <c r="U619" s="377"/>
      <c r="V619" s="376"/>
      <c r="W619" s="377"/>
      <c r="X619" s="377"/>
      <c r="Y619" s="222">
        <f t="shared" si="228"/>
        <v>1370000</v>
      </c>
      <c r="Z619" s="223">
        <f t="shared" si="223"/>
        <v>8220000</v>
      </c>
    </row>
    <row r="620" spans="1:26" s="44" customFormat="1" ht="24" customHeight="1">
      <c r="A620" s="85">
        <v>2</v>
      </c>
      <c r="B620" s="251" t="s">
        <v>411</v>
      </c>
      <c r="C620" s="263">
        <f>5*3</f>
        <v>15</v>
      </c>
      <c r="D620" s="226"/>
      <c r="E620" s="228">
        <f>+F620+G620+X620</f>
        <v>23</v>
      </c>
      <c r="F620" s="375">
        <f>4*5+1*3</f>
        <v>23</v>
      </c>
      <c r="G620" s="376">
        <f t="shared" si="224"/>
        <v>0</v>
      </c>
      <c r="H620" s="377"/>
      <c r="I620" s="382"/>
      <c r="J620" s="377"/>
      <c r="K620" s="377"/>
      <c r="L620" s="383"/>
      <c r="M620" s="377"/>
      <c r="N620" s="377"/>
      <c r="O620" s="382"/>
      <c r="P620" s="377"/>
      <c r="Q620" s="377"/>
      <c r="R620" s="377"/>
      <c r="S620" s="377"/>
      <c r="T620" s="377"/>
      <c r="U620" s="377"/>
      <c r="V620" s="376"/>
      <c r="W620" s="377"/>
      <c r="X620" s="377"/>
      <c r="Y620" s="222">
        <f t="shared" si="228"/>
        <v>2300000</v>
      </c>
      <c r="Z620" s="223">
        <f t="shared" si="223"/>
        <v>13800000</v>
      </c>
    </row>
    <row r="621" spans="1:26" s="44" customFormat="1" ht="24" customHeight="1">
      <c r="A621" s="80" t="s">
        <v>59</v>
      </c>
      <c r="B621" s="273" t="s">
        <v>280</v>
      </c>
      <c r="C621" s="226"/>
      <c r="D621" s="226"/>
      <c r="E621" s="231">
        <f>SUM(E622:E629)</f>
        <v>2.4</v>
      </c>
      <c r="F621" s="381">
        <f t="shared" ref="F621:X621" si="230">SUM(F622:F629)</f>
        <v>0</v>
      </c>
      <c r="G621" s="381">
        <f t="shared" si="230"/>
        <v>2.4</v>
      </c>
      <c r="H621" s="381">
        <f t="shared" si="230"/>
        <v>0</v>
      </c>
      <c r="I621" s="381">
        <f t="shared" si="230"/>
        <v>0</v>
      </c>
      <c r="J621" s="381">
        <f t="shared" si="230"/>
        <v>0</v>
      </c>
      <c r="K621" s="381">
        <f t="shared" si="230"/>
        <v>0</v>
      </c>
      <c r="L621" s="407">
        <f t="shared" si="230"/>
        <v>0</v>
      </c>
      <c r="M621" s="381">
        <f t="shared" si="230"/>
        <v>0</v>
      </c>
      <c r="N621" s="381">
        <f t="shared" si="230"/>
        <v>2.4</v>
      </c>
      <c r="O621" s="381">
        <f t="shared" si="230"/>
        <v>0</v>
      </c>
      <c r="P621" s="381">
        <f t="shared" si="230"/>
        <v>0</v>
      </c>
      <c r="Q621" s="381">
        <f t="shared" si="230"/>
        <v>0</v>
      </c>
      <c r="R621" s="381">
        <f t="shared" si="230"/>
        <v>0</v>
      </c>
      <c r="S621" s="381">
        <f t="shared" si="230"/>
        <v>0</v>
      </c>
      <c r="T621" s="381">
        <f t="shared" si="230"/>
        <v>0</v>
      </c>
      <c r="U621" s="381">
        <f t="shared" si="230"/>
        <v>0</v>
      </c>
      <c r="V621" s="381">
        <f t="shared" si="230"/>
        <v>0</v>
      </c>
      <c r="W621" s="381">
        <f t="shared" si="230"/>
        <v>0</v>
      </c>
      <c r="X621" s="381">
        <f t="shared" si="230"/>
        <v>0</v>
      </c>
      <c r="Y621" s="222">
        <f t="shared" si="228"/>
        <v>240000</v>
      </c>
      <c r="Z621" s="223">
        <f t="shared" si="223"/>
        <v>1440000</v>
      </c>
    </row>
    <row r="622" spans="1:26" s="44" customFormat="1" ht="24" customHeight="1">
      <c r="A622" s="90">
        <v>1</v>
      </c>
      <c r="B622" s="110" t="s">
        <v>398</v>
      </c>
      <c r="C622" s="226"/>
      <c r="D622" s="226"/>
      <c r="E622" s="228">
        <f t="shared" ref="E622:E629" si="231">+F622+G622+X622</f>
        <v>0.3</v>
      </c>
      <c r="F622" s="385"/>
      <c r="G622" s="376">
        <f t="shared" si="224"/>
        <v>0.3</v>
      </c>
      <c r="H622" s="377"/>
      <c r="I622" s="382"/>
      <c r="J622" s="377"/>
      <c r="K622" s="377"/>
      <c r="L622" s="383"/>
      <c r="M622" s="377"/>
      <c r="N622" s="377">
        <v>0.3</v>
      </c>
      <c r="O622" s="382"/>
      <c r="P622" s="377"/>
      <c r="Q622" s="377"/>
      <c r="R622" s="377"/>
      <c r="S622" s="377"/>
      <c r="T622" s="377">
        <f t="shared" si="218"/>
        <v>0</v>
      </c>
      <c r="U622" s="377"/>
      <c r="V622" s="376"/>
      <c r="W622" s="377"/>
      <c r="X622" s="377">
        <f t="shared" ref="X622:X629" si="232">(F622+I622+J622+K622)*22.5/100</f>
        <v>0</v>
      </c>
      <c r="Y622" s="222">
        <f t="shared" si="228"/>
        <v>30000</v>
      </c>
      <c r="Z622" s="223">
        <f t="shared" si="223"/>
        <v>180000</v>
      </c>
    </row>
    <row r="623" spans="1:26" s="44" customFormat="1" ht="24" customHeight="1">
      <c r="A623" s="90">
        <v>2</v>
      </c>
      <c r="B623" s="110" t="s">
        <v>397</v>
      </c>
      <c r="C623" s="226"/>
      <c r="D623" s="226"/>
      <c r="E623" s="228">
        <f t="shared" si="231"/>
        <v>0.3</v>
      </c>
      <c r="F623" s="385"/>
      <c r="G623" s="376">
        <f t="shared" si="224"/>
        <v>0.3</v>
      </c>
      <c r="H623" s="377"/>
      <c r="I623" s="382"/>
      <c r="J623" s="377"/>
      <c r="K623" s="377"/>
      <c r="L623" s="383"/>
      <c r="M623" s="377"/>
      <c r="N623" s="377">
        <v>0.3</v>
      </c>
      <c r="O623" s="382"/>
      <c r="P623" s="377"/>
      <c r="Q623" s="377"/>
      <c r="R623" s="377"/>
      <c r="S623" s="377"/>
      <c r="T623" s="377">
        <f t="shared" si="218"/>
        <v>0</v>
      </c>
      <c r="U623" s="377"/>
      <c r="V623" s="376"/>
      <c r="W623" s="377"/>
      <c r="X623" s="377">
        <f t="shared" si="232"/>
        <v>0</v>
      </c>
      <c r="Y623" s="222">
        <f t="shared" si="228"/>
        <v>30000</v>
      </c>
      <c r="Z623" s="223">
        <f t="shared" si="223"/>
        <v>180000</v>
      </c>
    </row>
    <row r="624" spans="1:26" s="44" customFormat="1" ht="24" customHeight="1">
      <c r="A624" s="90">
        <v>3</v>
      </c>
      <c r="B624" s="110" t="s">
        <v>400</v>
      </c>
      <c r="C624" s="226"/>
      <c r="D624" s="226"/>
      <c r="E624" s="228">
        <f t="shared" si="231"/>
        <v>0.3</v>
      </c>
      <c r="F624" s="385"/>
      <c r="G624" s="376">
        <f t="shared" si="224"/>
        <v>0.3</v>
      </c>
      <c r="H624" s="377"/>
      <c r="I624" s="382"/>
      <c r="J624" s="377"/>
      <c r="K624" s="377"/>
      <c r="L624" s="383"/>
      <c r="M624" s="377"/>
      <c r="N624" s="377">
        <v>0.3</v>
      </c>
      <c r="O624" s="382"/>
      <c r="P624" s="377"/>
      <c r="Q624" s="377"/>
      <c r="R624" s="377"/>
      <c r="S624" s="377"/>
      <c r="T624" s="377">
        <f t="shared" si="218"/>
        <v>0</v>
      </c>
      <c r="U624" s="377"/>
      <c r="V624" s="376"/>
      <c r="W624" s="377"/>
      <c r="X624" s="377">
        <f t="shared" si="232"/>
        <v>0</v>
      </c>
      <c r="Y624" s="222">
        <f t="shared" si="228"/>
        <v>30000</v>
      </c>
      <c r="Z624" s="223">
        <f t="shared" si="223"/>
        <v>180000</v>
      </c>
    </row>
    <row r="625" spans="1:26" s="44" customFormat="1" ht="24" customHeight="1">
      <c r="A625" s="90">
        <v>4</v>
      </c>
      <c r="B625" s="110" t="s">
        <v>406</v>
      </c>
      <c r="C625" s="226"/>
      <c r="D625" s="226"/>
      <c r="E625" s="228">
        <f t="shared" si="231"/>
        <v>0.3</v>
      </c>
      <c r="F625" s="385"/>
      <c r="G625" s="376">
        <f t="shared" si="224"/>
        <v>0.3</v>
      </c>
      <c r="H625" s="377"/>
      <c r="I625" s="382"/>
      <c r="J625" s="377"/>
      <c r="K625" s="377"/>
      <c r="L625" s="383"/>
      <c r="M625" s="377"/>
      <c r="N625" s="377">
        <v>0.3</v>
      </c>
      <c r="O625" s="382"/>
      <c r="P625" s="377"/>
      <c r="Q625" s="377"/>
      <c r="R625" s="377"/>
      <c r="S625" s="377"/>
      <c r="T625" s="377">
        <f t="shared" si="218"/>
        <v>0</v>
      </c>
      <c r="U625" s="377"/>
      <c r="V625" s="376"/>
      <c r="W625" s="377"/>
      <c r="X625" s="377">
        <f t="shared" si="232"/>
        <v>0</v>
      </c>
      <c r="Y625" s="222">
        <f t="shared" si="228"/>
        <v>30000</v>
      </c>
      <c r="Z625" s="223">
        <f t="shared" si="223"/>
        <v>180000</v>
      </c>
    </row>
    <row r="626" spans="1:26" s="44" customFormat="1" ht="24" customHeight="1">
      <c r="A626" s="90">
        <v>5</v>
      </c>
      <c r="B626" s="110" t="s">
        <v>412</v>
      </c>
      <c r="C626" s="226"/>
      <c r="D626" s="226"/>
      <c r="E626" s="228">
        <f t="shared" si="231"/>
        <v>0.3</v>
      </c>
      <c r="F626" s="385"/>
      <c r="G626" s="376">
        <f t="shared" si="224"/>
        <v>0.3</v>
      </c>
      <c r="H626" s="377"/>
      <c r="I626" s="382"/>
      <c r="J626" s="377"/>
      <c r="K626" s="377"/>
      <c r="L626" s="383"/>
      <c r="M626" s="377"/>
      <c r="N626" s="377">
        <v>0.3</v>
      </c>
      <c r="O626" s="382"/>
      <c r="P626" s="377"/>
      <c r="Q626" s="377"/>
      <c r="R626" s="377"/>
      <c r="S626" s="377"/>
      <c r="T626" s="377">
        <f t="shared" si="218"/>
        <v>0</v>
      </c>
      <c r="U626" s="377"/>
      <c r="V626" s="376"/>
      <c r="W626" s="377"/>
      <c r="X626" s="377">
        <f t="shared" si="232"/>
        <v>0</v>
      </c>
      <c r="Y626" s="222">
        <f t="shared" si="228"/>
        <v>30000</v>
      </c>
      <c r="Z626" s="223">
        <f t="shared" si="223"/>
        <v>180000</v>
      </c>
    </row>
    <row r="627" spans="1:26" s="44" customFormat="1" ht="24" customHeight="1">
      <c r="A627" s="90">
        <v>6</v>
      </c>
      <c r="B627" s="110" t="s">
        <v>402</v>
      </c>
      <c r="C627" s="226"/>
      <c r="D627" s="226"/>
      <c r="E627" s="228">
        <f t="shared" si="231"/>
        <v>0.3</v>
      </c>
      <c r="F627" s="385"/>
      <c r="G627" s="376">
        <f t="shared" si="224"/>
        <v>0.3</v>
      </c>
      <c r="H627" s="377"/>
      <c r="I627" s="382"/>
      <c r="J627" s="377"/>
      <c r="K627" s="377"/>
      <c r="L627" s="383"/>
      <c r="M627" s="377"/>
      <c r="N627" s="377">
        <v>0.3</v>
      </c>
      <c r="O627" s="382"/>
      <c r="P627" s="377"/>
      <c r="Q627" s="377"/>
      <c r="R627" s="377"/>
      <c r="S627" s="377"/>
      <c r="T627" s="377">
        <f t="shared" si="218"/>
        <v>0</v>
      </c>
      <c r="U627" s="377"/>
      <c r="V627" s="376"/>
      <c r="W627" s="377"/>
      <c r="X627" s="377">
        <f t="shared" si="232"/>
        <v>0</v>
      </c>
      <c r="Y627" s="222">
        <f t="shared" si="228"/>
        <v>30000</v>
      </c>
      <c r="Z627" s="223">
        <f t="shared" si="223"/>
        <v>180000</v>
      </c>
    </row>
    <row r="628" spans="1:26" s="44" customFormat="1" ht="24" customHeight="1">
      <c r="A628" s="90">
        <v>7</v>
      </c>
      <c r="B628" s="110" t="s">
        <v>401</v>
      </c>
      <c r="C628" s="226"/>
      <c r="D628" s="226"/>
      <c r="E628" s="228">
        <f t="shared" si="231"/>
        <v>0.3</v>
      </c>
      <c r="F628" s="385"/>
      <c r="G628" s="376">
        <f t="shared" si="224"/>
        <v>0.3</v>
      </c>
      <c r="H628" s="377"/>
      <c r="I628" s="382"/>
      <c r="J628" s="377"/>
      <c r="K628" s="377"/>
      <c r="L628" s="383"/>
      <c r="M628" s="377"/>
      <c r="N628" s="377">
        <v>0.3</v>
      </c>
      <c r="O628" s="382"/>
      <c r="P628" s="377"/>
      <c r="Q628" s="377"/>
      <c r="R628" s="377"/>
      <c r="S628" s="377"/>
      <c r="T628" s="377">
        <f t="shared" si="218"/>
        <v>0</v>
      </c>
      <c r="U628" s="377"/>
      <c r="V628" s="376"/>
      <c r="W628" s="377"/>
      <c r="X628" s="377">
        <f t="shared" si="232"/>
        <v>0</v>
      </c>
      <c r="Y628" s="222">
        <f t="shared" si="228"/>
        <v>30000</v>
      </c>
      <c r="Z628" s="223">
        <f t="shared" si="223"/>
        <v>180000</v>
      </c>
    </row>
    <row r="629" spans="1:26" s="44" customFormat="1" ht="24" customHeight="1">
      <c r="A629" s="90">
        <v>8</v>
      </c>
      <c r="B629" s="110" t="s">
        <v>399</v>
      </c>
      <c r="C629" s="226"/>
      <c r="D629" s="226"/>
      <c r="E629" s="228">
        <f t="shared" si="231"/>
        <v>0.3</v>
      </c>
      <c r="F629" s="385"/>
      <c r="G629" s="376">
        <f t="shared" si="224"/>
        <v>0.3</v>
      </c>
      <c r="H629" s="377"/>
      <c r="I629" s="382"/>
      <c r="J629" s="377"/>
      <c r="K629" s="377"/>
      <c r="L629" s="383"/>
      <c r="M629" s="377"/>
      <c r="N629" s="377">
        <v>0.3</v>
      </c>
      <c r="O629" s="382"/>
      <c r="P629" s="377"/>
      <c r="Q629" s="377"/>
      <c r="R629" s="377"/>
      <c r="S629" s="377"/>
      <c r="T629" s="377">
        <f t="shared" si="218"/>
        <v>0</v>
      </c>
      <c r="U629" s="377"/>
      <c r="V629" s="376"/>
      <c r="W629" s="377"/>
      <c r="X629" s="377">
        <f t="shared" si="232"/>
        <v>0</v>
      </c>
      <c r="Y629" s="222">
        <f t="shared" si="228"/>
        <v>30000</v>
      </c>
      <c r="Z629" s="223">
        <f t="shared" si="223"/>
        <v>180000</v>
      </c>
    </row>
    <row r="630" spans="1:26" s="44" customFormat="1" ht="24" customHeight="1">
      <c r="A630" s="80" t="s">
        <v>65</v>
      </c>
      <c r="B630" s="273" t="s">
        <v>279</v>
      </c>
      <c r="C630" s="226"/>
      <c r="D630" s="226"/>
      <c r="E630" s="231">
        <f>SUM(E631:E657)</f>
        <v>8.2399999999999984</v>
      </c>
      <c r="F630" s="381">
        <f t="shared" ref="F630:Z630" si="233">SUM(F631:F657)</f>
        <v>0</v>
      </c>
      <c r="G630" s="381">
        <f t="shared" si="233"/>
        <v>8.2399999999999984</v>
      </c>
      <c r="H630" s="381">
        <f t="shared" si="233"/>
        <v>0</v>
      </c>
      <c r="I630" s="381">
        <f t="shared" si="233"/>
        <v>0</v>
      </c>
      <c r="J630" s="381">
        <f t="shared" si="233"/>
        <v>0</v>
      </c>
      <c r="K630" s="381">
        <f t="shared" si="233"/>
        <v>0</v>
      </c>
      <c r="L630" s="407">
        <f t="shared" si="233"/>
        <v>0.14000000000000001</v>
      </c>
      <c r="M630" s="381">
        <f t="shared" si="233"/>
        <v>0</v>
      </c>
      <c r="N630" s="381">
        <f t="shared" si="233"/>
        <v>0</v>
      </c>
      <c r="O630" s="381">
        <f t="shared" si="233"/>
        <v>8.0999999999999979</v>
      </c>
      <c r="P630" s="381">
        <f t="shared" si="233"/>
        <v>0</v>
      </c>
      <c r="Q630" s="381">
        <f t="shared" si="233"/>
        <v>0</v>
      </c>
      <c r="R630" s="381">
        <f t="shared" si="233"/>
        <v>0</v>
      </c>
      <c r="S630" s="381">
        <f t="shared" si="233"/>
        <v>0</v>
      </c>
      <c r="T630" s="381">
        <f t="shared" si="233"/>
        <v>0</v>
      </c>
      <c r="U630" s="381">
        <f t="shared" si="233"/>
        <v>0</v>
      </c>
      <c r="V630" s="381">
        <f t="shared" si="233"/>
        <v>0</v>
      </c>
      <c r="W630" s="381">
        <f t="shared" si="233"/>
        <v>0</v>
      </c>
      <c r="X630" s="381">
        <f t="shared" si="233"/>
        <v>0</v>
      </c>
      <c r="Y630" s="236">
        <f t="shared" si="233"/>
        <v>824000</v>
      </c>
      <c r="Z630" s="236">
        <f t="shared" si="233"/>
        <v>4944000</v>
      </c>
    </row>
    <row r="631" spans="1:26" s="44" customFormat="1" ht="24" customHeight="1">
      <c r="A631" s="109">
        <v>1</v>
      </c>
      <c r="B631" s="110" t="s">
        <v>397</v>
      </c>
      <c r="C631" s="226"/>
      <c r="D631" s="226"/>
      <c r="E631" s="228">
        <f t="shared" ref="E631:E657" si="234">+F631+G631+X631</f>
        <v>0.3</v>
      </c>
      <c r="F631" s="385"/>
      <c r="G631" s="376">
        <f t="shared" si="224"/>
        <v>0.3</v>
      </c>
      <c r="H631" s="377"/>
      <c r="I631" s="382"/>
      <c r="J631" s="377"/>
      <c r="K631" s="377"/>
      <c r="L631" s="383"/>
      <c r="M631" s="377"/>
      <c r="N631" s="377"/>
      <c r="O631" s="377">
        <v>0.3</v>
      </c>
      <c r="P631" s="377"/>
      <c r="Q631" s="377"/>
      <c r="R631" s="377"/>
      <c r="S631" s="377"/>
      <c r="T631" s="377">
        <f t="shared" si="218"/>
        <v>0</v>
      </c>
      <c r="U631" s="377"/>
      <c r="V631" s="376"/>
      <c r="W631" s="377"/>
      <c r="X631" s="377">
        <f t="shared" ref="X631:X657" si="235">(F631+I631+J631+K631)*22.5/100</f>
        <v>0</v>
      </c>
      <c r="Y631" s="222">
        <f t="shared" si="228"/>
        <v>30000</v>
      </c>
      <c r="Z631" s="223">
        <f t="shared" si="223"/>
        <v>180000</v>
      </c>
    </row>
    <row r="632" spans="1:26" s="44" customFormat="1" ht="24" customHeight="1">
      <c r="A632" s="109">
        <v>2</v>
      </c>
      <c r="B632" s="110" t="s">
        <v>400</v>
      </c>
      <c r="C632" s="226"/>
      <c r="D632" s="226"/>
      <c r="E632" s="228">
        <f t="shared" si="234"/>
        <v>0.3</v>
      </c>
      <c r="F632" s="385"/>
      <c r="G632" s="376">
        <f t="shared" si="224"/>
        <v>0.3</v>
      </c>
      <c r="H632" s="377"/>
      <c r="I632" s="382"/>
      <c r="J632" s="377"/>
      <c r="K632" s="377"/>
      <c r="L632" s="383"/>
      <c r="M632" s="377"/>
      <c r="N632" s="377"/>
      <c r="O632" s="377">
        <v>0.3</v>
      </c>
      <c r="P632" s="377"/>
      <c r="Q632" s="377"/>
      <c r="R632" s="377"/>
      <c r="S632" s="377"/>
      <c r="T632" s="377">
        <f t="shared" si="218"/>
        <v>0</v>
      </c>
      <c r="U632" s="377"/>
      <c r="V632" s="376"/>
      <c r="W632" s="377"/>
      <c r="X632" s="377">
        <f t="shared" si="235"/>
        <v>0</v>
      </c>
      <c r="Y632" s="222">
        <f t="shared" si="228"/>
        <v>30000</v>
      </c>
      <c r="Z632" s="223">
        <f t="shared" si="223"/>
        <v>180000</v>
      </c>
    </row>
    <row r="633" spans="1:26" s="44" customFormat="1" ht="24" customHeight="1">
      <c r="A633" s="109">
        <v>3</v>
      </c>
      <c r="B633" s="110" t="s">
        <v>398</v>
      </c>
      <c r="C633" s="226"/>
      <c r="D633" s="226"/>
      <c r="E633" s="228">
        <f t="shared" si="234"/>
        <v>0.3</v>
      </c>
      <c r="F633" s="385"/>
      <c r="G633" s="376">
        <f t="shared" si="224"/>
        <v>0.3</v>
      </c>
      <c r="H633" s="377"/>
      <c r="I633" s="382"/>
      <c r="J633" s="377"/>
      <c r="K633" s="377"/>
      <c r="L633" s="383"/>
      <c r="M633" s="377"/>
      <c r="N633" s="377"/>
      <c r="O633" s="377">
        <v>0.3</v>
      </c>
      <c r="P633" s="377"/>
      <c r="Q633" s="377"/>
      <c r="R633" s="377"/>
      <c r="S633" s="377"/>
      <c r="T633" s="377">
        <f t="shared" si="218"/>
        <v>0</v>
      </c>
      <c r="U633" s="377"/>
      <c r="V633" s="376"/>
      <c r="W633" s="377"/>
      <c r="X633" s="377">
        <f t="shared" si="235"/>
        <v>0</v>
      </c>
      <c r="Y633" s="222">
        <f t="shared" si="228"/>
        <v>30000</v>
      </c>
      <c r="Z633" s="223">
        <f t="shared" si="223"/>
        <v>180000</v>
      </c>
    </row>
    <row r="634" spans="1:26" s="44" customFormat="1" ht="24" customHeight="1">
      <c r="A634" s="109">
        <v>4</v>
      </c>
      <c r="B634" s="110" t="s">
        <v>399</v>
      </c>
      <c r="C634" s="226"/>
      <c r="D634" s="226"/>
      <c r="E634" s="228">
        <f t="shared" si="234"/>
        <v>0.3</v>
      </c>
      <c r="F634" s="385"/>
      <c r="G634" s="376">
        <f t="shared" si="224"/>
        <v>0.3</v>
      </c>
      <c r="H634" s="377"/>
      <c r="I634" s="382"/>
      <c r="J634" s="377"/>
      <c r="K634" s="377"/>
      <c r="L634" s="383"/>
      <c r="M634" s="377"/>
      <c r="N634" s="377"/>
      <c r="O634" s="377">
        <v>0.3</v>
      </c>
      <c r="P634" s="377"/>
      <c r="Q634" s="377"/>
      <c r="R634" s="377"/>
      <c r="S634" s="377"/>
      <c r="T634" s="377">
        <f t="shared" si="218"/>
        <v>0</v>
      </c>
      <c r="U634" s="377"/>
      <c r="V634" s="376"/>
      <c r="W634" s="377"/>
      <c r="X634" s="377">
        <f t="shared" si="235"/>
        <v>0</v>
      </c>
      <c r="Y634" s="222">
        <f t="shared" si="228"/>
        <v>30000</v>
      </c>
      <c r="Z634" s="223">
        <f t="shared" si="223"/>
        <v>180000</v>
      </c>
    </row>
    <row r="635" spans="1:26" s="44" customFormat="1" ht="24" customHeight="1">
      <c r="A635" s="109">
        <v>5</v>
      </c>
      <c r="B635" s="110" t="s">
        <v>401</v>
      </c>
      <c r="C635" s="226"/>
      <c r="D635" s="226"/>
      <c r="E635" s="228">
        <f t="shared" si="234"/>
        <v>0.3</v>
      </c>
      <c r="F635" s="385"/>
      <c r="G635" s="376">
        <f t="shared" si="224"/>
        <v>0.3</v>
      </c>
      <c r="H635" s="377"/>
      <c r="I635" s="382"/>
      <c r="J635" s="377"/>
      <c r="K635" s="377"/>
      <c r="L635" s="383"/>
      <c r="M635" s="377"/>
      <c r="N635" s="377"/>
      <c r="O635" s="377">
        <v>0.3</v>
      </c>
      <c r="P635" s="377"/>
      <c r="Q635" s="377"/>
      <c r="R635" s="377"/>
      <c r="S635" s="377"/>
      <c r="T635" s="377">
        <f t="shared" si="218"/>
        <v>0</v>
      </c>
      <c r="U635" s="377"/>
      <c r="V635" s="376"/>
      <c r="W635" s="377"/>
      <c r="X635" s="377">
        <f t="shared" si="235"/>
        <v>0</v>
      </c>
      <c r="Y635" s="222">
        <f t="shared" si="228"/>
        <v>30000</v>
      </c>
      <c r="Z635" s="223">
        <f t="shared" si="223"/>
        <v>180000</v>
      </c>
    </row>
    <row r="636" spans="1:26" s="44" customFormat="1" ht="24" customHeight="1">
      <c r="A636" s="109">
        <v>6</v>
      </c>
      <c r="B636" s="110" t="s">
        <v>402</v>
      </c>
      <c r="C636" s="226"/>
      <c r="D636" s="226"/>
      <c r="E636" s="228">
        <f t="shared" si="234"/>
        <v>0.3</v>
      </c>
      <c r="F636" s="385"/>
      <c r="G636" s="376">
        <f t="shared" si="224"/>
        <v>0.3</v>
      </c>
      <c r="H636" s="377"/>
      <c r="I636" s="382"/>
      <c r="J636" s="377"/>
      <c r="K636" s="377"/>
      <c r="L636" s="383"/>
      <c r="M636" s="377"/>
      <c r="N636" s="377"/>
      <c r="O636" s="377">
        <v>0.3</v>
      </c>
      <c r="P636" s="377"/>
      <c r="Q636" s="377"/>
      <c r="R636" s="377"/>
      <c r="S636" s="377"/>
      <c r="T636" s="377">
        <f t="shared" si="218"/>
        <v>0</v>
      </c>
      <c r="U636" s="377"/>
      <c r="V636" s="376"/>
      <c r="W636" s="377"/>
      <c r="X636" s="377">
        <f t="shared" si="235"/>
        <v>0</v>
      </c>
      <c r="Y636" s="222">
        <f t="shared" si="228"/>
        <v>30000</v>
      </c>
      <c r="Z636" s="223">
        <f t="shared" si="223"/>
        <v>180000</v>
      </c>
    </row>
    <row r="637" spans="1:26" s="44" customFormat="1" ht="24" customHeight="1">
      <c r="A637" s="109">
        <v>7</v>
      </c>
      <c r="B637" s="110" t="s">
        <v>404</v>
      </c>
      <c r="C637" s="226"/>
      <c r="D637" s="226"/>
      <c r="E637" s="228">
        <f t="shared" si="234"/>
        <v>0.3</v>
      </c>
      <c r="F637" s="385"/>
      <c r="G637" s="376">
        <f t="shared" si="224"/>
        <v>0.3</v>
      </c>
      <c r="H637" s="377"/>
      <c r="I637" s="382"/>
      <c r="J637" s="377"/>
      <c r="K637" s="377"/>
      <c r="L637" s="383"/>
      <c r="M637" s="377"/>
      <c r="N637" s="377"/>
      <c r="O637" s="377">
        <v>0.3</v>
      </c>
      <c r="P637" s="377"/>
      <c r="Q637" s="377"/>
      <c r="R637" s="377"/>
      <c r="S637" s="377"/>
      <c r="T637" s="377">
        <f t="shared" si="218"/>
        <v>0</v>
      </c>
      <c r="U637" s="377"/>
      <c r="V637" s="376"/>
      <c r="W637" s="377"/>
      <c r="X637" s="377">
        <f t="shared" si="235"/>
        <v>0</v>
      </c>
      <c r="Y637" s="222">
        <f t="shared" si="228"/>
        <v>30000</v>
      </c>
      <c r="Z637" s="223">
        <f t="shared" si="223"/>
        <v>180000</v>
      </c>
    </row>
    <row r="638" spans="1:26" s="44" customFormat="1" ht="24" customHeight="1">
      <c r="A638" s="109">
        <v>8</v>
      </c>
      <c r="B638" s="110" t="s">
        <v>403</v>
      </c>
      <c r="C638" s="226"/>
      <c r="D638" s="226"/>
      <c r="E638" s="228">
        <f t="shared" si="234"/>
        <v>0.3</v>
      </c>
      <c r="F638" s="385"/>
      <c r="G638" s="376">
        <f t="shared" si="224"/>
        <v>0.3</v>
      </c>
      <c r="H638" s="377"/>
      <c r="I638" s="382"/>
      <c r="J638" s="377"/>
      <c r="K638" s="377"/>
      <c r="L638" s="383"/>
      <c r="M638" s="377"/>
      <c r="N638" s="377"/>
      <c r="O638" s="377">
        <v>0.3</v>
      </c>
      <c r="P638" s="377"/>
      <c r="Q638" s="377"/>
      <c r="R638" s="377"/>
      <c r="S638" s="377"/>
      <c r="T638" s="377">
        <f t="shared" si="218"/>
        <v>0</v>
      </c>
      <c r="U638" s="377"/>
      <c r="V638" s="376"/>
      <c r="W638" s="377"/>
      <c r="X638" s="377">
        <f t="shared" si="235"/>
        <v>0</v>
      </c>
      <c r="Y638" s="222">
        <f t="shared" si="228"/>
        <v>30000</v>
      </c>
      <c r="Z638" s="223">
        <f t="shared" si="223"/>
        <v>180000</v>
      </c>
    </row>
    <row r="639" spans="1:26" s="44" customFormat="1" ht="24" customHeight="1">
      <c r="A639" s="109">
        <v>9</v>
      </c>
      <c r="B639" s="110" t="s">
        <v>406</v>
      </c>
      <c r="C639" s="226"/>
      <c r="D639" s="226"/>
      <c r="E639" s="228">
        <f t="shared" si="234"/>
        <v>0.3</v>
      </c>
      <c r="F639" s="385"/>
      <c r="G639" s="376">
        <f t="shared" si="224"/>
        <v>0.3</v>
      </c>
      <c r="H639" s="377"/>
      <c r="I639" s="382"/>
      <c r="J639" s="377"/>
      <c r="K639" s="377"/>
      <c r="L639" s="383"/>
      <c r="M639" s="377"/>
      <c r="N639" s="377"/>
      <c r="O639" s="377">
        <v>0.3</v>
      </c>
      <c r="P639" s="377"/>
      <c r="Q639" s="377"/>
      <c r="R639" s="377"/>
      <c r="S639" s="377"/>
      <c r="T639" s="377">
        <f t="shared" si="218"/>
        <v>0</v>
      </c>
      <c r="U639" s="377"/>
      <c r="V639" s="376"/>
      <c r="W639" s="377"/>
      <c r="X639" s="377">
        <f t="shared" si="235"/>
        <v>0</v>
      </c>
      <c r="Y639" s="222">
        <f t="shared" si="228"/>
        <v>30000</v>
      </c>
      <c r="Z639" s="223">
        <f t="shared" si="223"/>
        <v>180000</v>
      </c>
    </row>
    <row r="640" spans="1:26" s="44" customFormat="1" ht="24" customHeight="1">
      <c r="A640" s="109">
        <v>10</v>
      </c>
      <c r="B640" s="110" t="s">
        <v>405</v>
      </c>
      <c r="C640" s="226"/>
      <c r="D640" s="226"/>
      <c r="E640" s="228">
        <f t="shared" si="234"/>
        <v>0.3</v>
      </c>
      <c r="F640" s="385"/>
      <c r="G640" s="376">
        <f t="shared" si="224"/>
        <v>0.3</v>
      </c>
      <c r="H640" s="377"/>
      <c r="I640" s="382"/>
      <c r="J640" s="377"/>
      <c r="K640" s="377"/>
      <c r="L640" s="383"/>
      <c r="M640" s="377"/>
      <c r="N640" s="377"/>
      <c r="O640" s="377">
        <v>0.3</v>
      </c>
      <c r="P640" s="377"/>
      <c r="Q640" s="377"/>
      <c r="R640" s="377"/>
      <c r="S640" s="377"/>
      <c r="T640" s="377">
        <f t="shared" si="218"/>
        <v>0</v>
      </c>
      <c r="U640" s="377"/>
      <c r="V640" s="376"/>
      <c r="W640" s="377"/>
      <c r="X640" s="377">
        <f t="shared" si="235"/>
        <v>0</v>
      </c>
      <c r="Y640" s="222">
        <f t="shared" si="228"/>
        <v>30000</v>
      </c>
      <c r="Z640" s="223">
        <f t="shared" si="223"/>
        <v>180000</v>
      </c>
    </row>
    <row r="641" spans="1:26" s="44" customFormat="1" ht="24" customHeight="1">
      <c r="A641" s="109">
        <v>11</v>
      </c>
      <c r="B641" s="110" t="s">
        <v>407</v>
      </c>
      <c r="C641" s="226"/>
      <c r="D641" s="226"/>
      <c r="E641" s="228">
        <f t="shared" si="234"/>
        <v>0.3</v>
      </c>
      <c r="F641" s="385"/>
      <c r="G641" s="376">
        <f t="shared" si="224"/>
        <v>0.3</v>
      </c>
      <c r="H641" s="377"/>
      <c r="I641" s="382"/>
      <c r="J641" s="377"/>
      <c r="K641" s="377"/>
      <c r="L641" s="383"/>
      <c r="M641" s="377"/>
      <c r="N641" s="377"/>
      <c r="O641" s="377">
        <v>0.3</v>
      </c>
      <c r="P641" s="377"/>
      <c r="Q641" s="377"/>
      <c r="R641" s="377"/>
      <c r="S641" s="377"/>
      <c r="T641" s="377">
        <f t="shared" si="218"/>
        <v>0</v>
      </c>
      <c r="U641" s="377"/>
      <c r="V641" s="376"/>
      <c r="W641" s="377"/>
      <c r="X641" s="377">
        <f t="shared" si="235"/>
        <v>0</v>
      </c>
      <c r="Y641" s="222">
        <f t="shared" si="228"/>
        <v>30000</v>
      </c>
      <c r="Z641" s="223">
        <f t="shared" si="223"/>
        <v>180000</v>
      </c>
    </row>
    <row r="642" spans="1:26" s="44" customFormat="1" ht="24" customHeight="1">
      <c r="A642" s="109">
        <v>12</v>
      </c>
      <c r="B642" s="110" t="s">
        <v>409</v>
      </c>
      <c r="C642" s="226"/>
      <c r="D642" s="226"/>
      <c r="E642" s="228">
        <f t="shared" si="234"/>
        <v>0.3</v>
      </c>
      <c r="F642" s="385"/>
      <c r="G642" s="376">
        <f t="shared" si="224"/>
        <v>0.3</v>
      </c>
      <c r="H642" s="377"/>
      <c r="I642" s="382"/>
      <c r="J642" s="377"/>
      <c r="K642" s="377"/>
      <c r="L642" s="383"/>
      <c r="M642" s="377"/>
      <c r="N642" s="377"/>
      <c r="O642" s="377">
        <v>0.3</v>
      </c>
      <c r="P642" s="377"/>
      <c r="Q642" s="377"/>
      <c r="R642" s="377"/>
      <c r="S642" s="377"/>
      <c r="T642" s="377">
        <f t="shared" si="218"/>
        <v>0</v>
      </c>
      <c r="U642" s="377"/>
      <c r="V642" s="376"/>
      <c r="W642" s="377"/>
      <c r="X642" s="377">
        <f t="shared" si="235"/>
        <v>0</v>
      </c>
      <c r="Y642" s="222">
        <f t="shared" si="228"/>
        <v>30000</v>
      </c>
      <c r="Z642" s="223">
        <f t="shared" si="223"/>
        <v>180000</v>
      </c>
    </row>
    <row r="643" spans="1:26" s="44" customFormat="1" ht="24" customHeight="1">
      <c r="A643" s="109">
        <v>13</v>
      </c>
      <c r="B643" s="110" t="s">
        <v>408</v>
      </c>
      <c r="C643" s="226"/>
      <c r="D643" s="226"/>
      <c r="E643" s="228">
        <f t="shared" si="234"/>
        <v>0.3</v>
      </c>
      <c r="F643" s="385"/>
      <c r="G643" s="376">
        <f t="shared" si="224"/>
        <v>0.3</v>
      </c>
      <c r="H643" s="377"/>
      <c r="I643" s="382"/>
      <c r="J643" s="377"/>
      <c r="K643" s="377"/>
      <c r="L643" s="383"/>
      <c r="M643" s="377"/>
      <c r="N643" s="377"/>
      <c r="O643" s="377">
        <v>0.3</v>
      </c>
      <c r="P643" s="377"/>
      <c r="Q643" s="377"/>
      <c r="R643" s="377"/>
      <c r="S643" s="377"/>
      <c r="T643" s="377">
        <f t="shared" si="218"/>
        <v>0</v>
      </c>
      <c r="U643" s="377"/>
      <c r="V643" s="376"/>
      <c r="W643" s="377"/>
      <c r="X643" s="377">
        <f t="shared" si="235"/>
        <v>0</v>
      </c>
      <c r="Y643" s="222">
        <f t="shared" si="228"/>
        <v>30000</v>
      </c>
      <c r="Z643" s="223">
        <f t="shared" si="223"/>
        <v>180000</v>
      </c>
    </row>
    <row r="644" spans="1:26" s="44" customFormat="1" ht="24" customHeight="1">
      <c r="A644" s="109">
        <v>14</v>
      </c>
      <c r="B644" s="110" t="s">
        <v>413</v>
      </c>
      <c r="C644" s="226"/>
      <c r="D644" s="226"/>
      <c r="E644" s="228">
        <f t="shared" si="234"/>
        <v>0.3</v>
      </c>
      <c r="F644" s="385"/>
      <c r="G644" s="376">
        <f t="shared" si="224"/>
        <v>0.3</v>
      </c>
      <c r="H644" s="377"/>
      <c r="I644" s="382"/>
      <c r="J644" s="377"/>
      <c r="K644" s="377"/>
      <c r="L644" s="383"/>
      <c r="M644" s="377"/>
      <c r="N644" s="377"/>
      <c r="O644" s="377">
        <v>0.3</v>
      </c>
      <c r="P644" s="377"/>
      <c r="Q644" s="377"/>
      <c r="R644" s="377"/>
      <c r="S644" s="377"/>
      <c r="T644" s="377">
        <f t="shared" si="218"/>
        <v>0</v>
      </c>
      <c r="U644" s="377"/>
      <c r="V644" s="376"/>
      <c r="W644" s="377"/>
      <c r="X644" s="377">
        <f t="shared" si="235"/>
        <v>0</v>
      </c>
      <c r="Y644" s="222">
        <f t="shared" si="228"/>
        <v>30000</v>
      </c>
      <c r="Z644" s="223">
        <f t="shared" si="223"/>
        <v>180000</v>
      </c>
    </row>
    <row r="645" spans="1:26" s="44" customFormat="1" ht="24" customHeight="1">
      <c r="A645" s="109">
        <v>15</v>
      </c>
      <c r="B645" s="110" t="s">
        <v>414</v>
      </c>
      <c r="C645" s="226"/>
      <c r="D645" s="226"/>
      <c r="E645" s="228">
        <f t="shared" si="234"/>
        <v>0.3</v>
      </c>
      <c r="F645" s="385"/>
      <c r="G645" s="376">
        <f t="shared" si="224"/>
        <v>0.3</v>
      </c>
      <c r="H645" s="377"/>
      <c r="I645" s="382"/>
      <c r="J645" s="377"/>
      <c r="K645" s="377"/>
      <c r="L645" s="383"/>
      <c r="M645" s="377"/>
      <c r="N645" s="377"/>
      <c r="O645" s="377">
        <v>0.3</v>
      </c>
      <c r="P645" s="377"/>
      <c r="Q645" s="377"/>
      <c r="R645" s="377"/>
      <c r="S645" s="377"/>
      <c r="T645" s="377">
        <f t="shared" si="218"/>
        <v>0</v>
      </c>
      <c r="U645" s="377"/>
      <c r="V645" s="376"/>
      <c r="W645" s="377"/>
      <c r="X645" s="377">
        <f t="shared" si="235"/>
        <v>0</v>
      </c>
      <c r="Y645" s="222">
        <f t="shared" si="228"/>
        <v>30000</v>
      </c>
      <c r="Z645" s="223">
        <f t="shared" si="223"/>
        <v>180000</v>
      </c>
    </row>
    <row r="646" spans="1:26" s="44" customFormat="1" ht="24" customHeight="1">
      <c r="A646" s="109">
        <v>16</v>
      </c>
      <c r="B646" s="110" t="s">
        <v>415</v>
      </c>
      <c r="C646" s="226"/>
      <c r="D646" s="226"/>
      <c r="E646" s="228">
        <f t="shared" si="234"/>
        <v>0.37</v>
      </c>
      <c r="F646" s="385"/>
      <c r="G646" s="376">
        <f t="shared" si="224"/>
        <v>0.37</v>
      </c>
      <c r="H646" s="377"/>
      <c r="I646" s="382"/>
      <c r="J646" s="377"/>
      <c r="K646" s="377"/>
      <c r="L646" s="385">
        <f>1*7%</f>
        <v>7.0000000000000007E-2</v>
      </c>
      <c r="M646" s="377"/>
      <c r="N646" s="377"/>
      <c r="O646" s="377">
        <v>0.3</v>
      </c>
      <c r="P646" s="377"/>
      <c r="Q646" s="377"/>
      <c r="R646" s="377"/>
      <c r="S646" s="377"/>
      <c r="T646" s="377">
        <f t="shared" si="218"/>
        <v>0</v>
      </c>
      <c r="U646" s="377"/>
      <c r="V646" s="376"/>
      <c r="W646" s="377"/>
      <c r="X646" s="377">
        <f t="shared" si="235"/>
        <v>0</v>
      </c>
      <c r="Y646" s="222">
        <f t="shared" si="228"/>
        <v>37000</v>
      </c>
      <c r="Z646" s="223">
        <f t="shared" si="223"/>
        <v>222000</v>
      </c>
    </row>
    <row r="647" spans="1:26" s="44" customFormat="1" ht="24" customHeight="1">
      <c r="A647" s="109">
        <v>17</v>
      </c>
      <c r="B647" s="110" t="s">
        <v>416</v>
      </c>
      <c r="C647" s="226"/>
      <c r="D647" s="226"/>
      <c r="E647" s="228">
        <f t="shared" si="234"/>
        <v>0.3</v>
      </c>
      <c r="F647" s="385"/>
      <c r="G647" s="376">
        <f t="shared" si="224"/>
        <v>0.3</v>
      </c>
      <c r="H647" s="377"/>
      <c r="I647" s="382"/>
      <c r="J647" s="377"/>
      <c r="K647" s="377"/>
      <c r="L647" s="383"/>
      <c r="M647" s="377"/>
      <c r="N647" s="377"/>
      <c r="O647" s="377">
        <v>0.3</v>
      </c>
      <c r="P647" s="377"/>
      <c r="Q647" s="377"/>
      <c r="R647" s="377"/>
      <c r="S647" s="377"/>
      <c r="T647" s="377">
        <f t="shared" si="218"/>
        <v>0</v>
      </c>
      <c r="U647" s="377"/>
      <c r="V647" s="376"/>
      <c r="W647" s="377"/>
      <c r="X647" s="377">
        <f t="shared" si="235"/>
        <v>0</v>
      </c>
      <c r="Y647" s="222">
        <f t="shared" si="228"/>
        <v>30000</v>
      </c>
      <c r="Z647" s="223">
        <f t="shared" si="223"/>
        <v>180000</v>
      </c>
    </row>
    <row r="648" spans="1:26" s="44" customFormat="1" ht="24" customHeight="1">
      <c r="A648" s="109">
        <v>18</v>
      </c>
      <c r="B648" s="110" t="s">
        <v>417</v>
      </c>
      <c r="C648" s="226"/>
      <c r="D648" s="226"/>
      <c r="E648" s="228">
        <f t="shared" si="234"/>
        <v>0.3</v>
      </c>
      <c r="F648" s="385"/>
      <c r="G648" s="376">
        <f t="shared" si="224"/>
        <v>0.3</v>
      </c>
      <c r="H648" s="377"/>
      <c r="I648" s="382"/>
      <c r="J648" s="377"/>
      <c r="K648" s="377"/>
      <c r="L648" s="383"/>
      <c r="M648" s="377"/>
      <c r="N648" s="377"/>
      <c r="O648" s="377">
        <v>0.3</v>
      </c>
      <c r="P648" s="377"/>
      <c r="Q648" s="377"/>
      <c r="R648" s="377"/>
      <c r="S648" s="377"/>
      <c r="T648" s="377">
        <f t="shared" si="218"/>
        <v>0</v>
      </c>
      <c r="U648" s="377"/>
      <c r="V648" s="376"/>
      <c r="W648" s="377"/>
      <c r="X648" s="377">
        <f t="shared" si="235"/>
        <v>0</v>
      </c>
      <c r="Y648" s="222">
        <f t="shared" si="228"/>
        <v>30000</v>
      </c>
      <c r="Z648" s="223">
        <f t="shared" si="223"/>
        <v>180000</v>
      </c>
    </row>
    <row r="649" spans="1:26" s="44" customFormat="1" ht="24" customHeight="1">
      <c r="A649" s="109">
        <v>19</v>
      </c>
      <c r="B649" s="110" t="s">
        <v>418</v>
      </c>
      <c r="C649" s="226"/>
      <c r="D649" s="226"/>
      <c r="E649" s="228">
        <f t="shared" si="234"/>
        <v>0.3</v>
      </c>
      <c r="F649" s="385"/>
      <c r="G649" s="376">
        <f t="shared" si="224"/>
        <v>0.3</v>
      </c>
      <c r="H649" s="377"/>
      <c r="I649" s="382"/>
      <c r="J649" s="377"/>
      <c r="K649" s="377"/>
      <c r="L649" s="383"/>
      <c r="M649" s="377"/>
      <c r="N649" s="377"/>
      <c r="O649" s="377">
        <v>0.3</v>
      </c>
      <c r="P649" s="377"/>
      <c r="Q649" s="377"/>
      <c r="R649" s="377"/>
      <c r="S649" s="377"/>
      <c r="T649" s="377">
        <f t="shared" si="218"/>
        <v>0</v>
      </c>
      <c r="U649" s="377"/>
      <c r="V649" s="376"/>
      <c r="W649" s="377"/>
      <c r="X649" s="377">
        <f t="shared" si="235"/>
        <v>0</v>
      </c>
      <c r="Y649" s="222">
        <f t="shared" si="228"/>
        <v>30000</v>
      </c>
      <c r="Z649" s="223">
        <f t="shared" si="223"/>
        <v>180000</v>
      </c>
    </row>
    <row r="650" spans="1:26" s="44" customFormat="1" ht="24" customHeight="1">
      <c r="A650" s="109">
        <v>20</v>
      </c>
      <c r="B650" s="110" t="s">
        <v>419</v>
      </c>
      <c r="C650" s="226"/>
      <c r="D650" s="226"/>
      <c r="E650" s="228">
        <f t="shared" si="234"/>
        <v>0.37</v>
      </c>
      <c r="F650" s="385"/>
      <c r="G650" s="376">
        <f t="shared" si="224"/>
        <v>0.37</v>
      </c>
      <c r="H650" s="377"/>
      <c r="I650" s="382"/>
      <c r="J650" s="377"/>
      <c r="K650" s="377"/>
      <c r="L650" s="385">
        <f>1*7%</f>
        <v>7.0000000000000007E-2</v>
      </c>
      <c r="M650" s="377"/>
      <c r="N650" s="377"/>
      <c r="O650" s="377">
        <v>0.3</v>
      </c>
      <c r="P650" s="377"/>
      <c r="Q650" s="377"/>
      <c r="R650" s="377"/>
      <c r="S650" s="377"/>
      <c r="T650" s="377">
        <f t="shared" si="218"/>
        <v>0</v>
      </c>
      <c r="U650" s="377"/>
      <c r="V650" s="376"/>
      <c r="W650" s="377"/>
      <c r="X650" s="377">
        <f t="shared" si="235"/>
        <v>0</v>
      </c>
      <c r="Y650" s="222">
        <f t="shared" si="228"/>
        <v>37000</v>
      </c>
      <c r="Z650" s="223">
        <f t="shared" si="223"/>
        <v>222000</v>
      </c>
    </row>
    <row r="651" spans="1:26" s="44" customFormat="1" ht="24" customHeight="1">
      <c r="A651" s="109">
        <v>21</v>
      </c>
      <c r="B651" s="110" t="s">
        <v>420</v>
      </c>
      <c r="C651" s="226"/>
      <c r="D651" s="226"/>
      <c r="E651" s="228">
        <f t="shared" si="234"/>
        <v>0.3</v>
      </c>
      <c r="F651" s="385"/>
      <c r="G651" s="376">
        <f t="shared" si="224"/>
        <v>0.3</v>
      </c>
      <c r="H651" s="377"/>
      <c r="I651" s="382"/>
      <c r="J651" s="377"/>
      <c r="K651" s="377"/>
      <c r="L651" s="383"/>
      <c r="M651" s="377"/>
      <c r="N651" s="377"/>
      <c r="O651" s="377">
        <v>0.3</v>
      </c>
      <c r="P651" s="377"/>
      <c r="Q651" s="377"/>
      <c r="R651" s="377"/>
      <c r="S651" s="377"/>
      <c r="T651" s="377">
        <f t="shared" si="218"/>
        <v>0</v>
      </c>
      <c r="U651" s="377"/>
      <c r="V651" s="376"/>
      <c r="W651" s="377"/>
      <c r="X651" s="377">
        <f t="shared" si="235"/>
        <v>0</v>
      </c>
      <c r="Y651" s="222">
        <f t="shared" si="228"/>
        <v>30000</v>
      </c>
      <c r="Z651" s="223">
        <f t="shared" si="223"/>
        <v>180000</v>
      </c>
    </row>
    <row r="652" spans="1:26" s="44" customFormat="1" ht="24" customHeight="1">
      <c r="A652" s="109">
        <v>22</v>
      </c>
      <c r="B652" s="110" t="s">
        <v>421</v>
      </c>
      <c r="C652" s="226"/>
      <c r="D652" s="226"/>
      <c r="E652" s="228">
        <f t="shared" si="234"/>
        <v>0.3</v>
      </c>
      <c r="F652" s="385"/>
      <c r="G652" s="376">
        <f t="shared" si="224"/>
        <v>0.3</v>
      </c>
      <c r="H652" s="377"/>
      <c r="I652" s="382"/>
      <c r="J652" s="377"/>
      <c r="K652" s="377"/>
      <c r="L652" s="383"/>
      <c r="M652" s="377"/>
      <c r="N652" s="377"/>
      <c r="O652" s="377">
        <v>0.3</v>
      </c>
      <c r="P652" s="377"/>
      <c r="Q652" s="377"/>
      <c r="R652" s="377"/>
      <c r="S652" s="377"/>
      <c r="T652" s="377">
        <f t="shared" si="218"/>
        <v>0</v>
      </c>
      <c r="U652" s="377"/>
      <c r="V652" s="376"/>
      <c r="W652" s="377"/>
      <c r="X652" s="377">
        <f t="shared" si="235"/>
        <v>0</v>
      </c>
      <c r="Y652" s="222">
        <f t="shared" si="228"/>
        <v>30000</v>
      </c>
      <c r="Z652" s="223">
        <f t="shared" si="223"/>
        <v>180000</v>
      </c>
    </row>
    <row r="653" spans="1:26" s="44" customFormat="1" ht="24" customHeight="1">
      <c r="A653" s="109">
        <v>23</v>
      </c>
      <c r="B653" s="110" t="s">
        <v>422</v>
      </c>
      <c r="C653" s="226"/>
      <c r="D653" s="226"/>
      <c r="E653" s="228">
        <f t="shared" si="234"/>
        <v>0.3</v>
      </c>
      <c r="F653" s="385"/>
      <c r="G653" s="376">
        <f t="shared" si="224"/>
        <v>0.3</v>
      </c>
      <c r="H653" s="377"/>
      <c r="I653" s="382"/>
      <c r="J653" s="377"/>
      <c r="K653" s="377"/>
      <c r="L653" s="383"/>
      <c r="M653" s="377"/>
      <c r="N653" s="377"/>
      <c r="O653" s="377">
        <v>0.3</v>
      </c>
      <c r="P653" s="377"/>
      <c r="Q653" s="377"/>
      <c r="R653" s="377"/>
      <c r="S653" s="377"/>
      <c r="T653" s="377">
        <f t="shared" si="218"/>
        <v>0</v>
      </c>
      <c r="U653" s="377"/>
      <c r="V653" s="376"/>
      <c r="W653" s="377"/>
      <c r="X653" s="377">
        <f t="shared" si="235"/>
        <v>0</v>
      </c>
      <c r="Y653" s="222">
        <f t="shared" si="228"/>
        <v>30000</v>
      </c>
      <c r="Z653" s="223">
        <f t="shared" si="223"/>
        <v>180000</v>
      </c>
    </row>
    <row r="654" spans="1:26" s="44" customFormat="1" ht="24" customHeight="1">
      <c r="A654" s="109">
        <v>24</v>
      </c>
      <c r="B654" s="110" t="s">
        <v>423</v>
      </c>
      <c r="C654" s="226"/>
      <c r="D654" s="226"/>
      <c r="E654" s="228">
        <f t="shared" si="234"/>
        <v>0.3</v>
      </c>
      <c r="F654" s="385"/>
      <c r="G654" s="376">
        <f t="shared" si="224"/>
        <v>0.3</v>
      </c>
      <c r="H654" s="377"/>
      <c r="I654" s="382"/>
      <c r="J654" s="377"/>
      <c r="K654" s="377"/>
      <c r="L654" s="383"/>
      <c r="M654" s="377"/>
      <c r="N654" s="377"/>
      <c r="O654" s="377">
        <v>0.3</v>
      </c>
      <c r="P654" s="377"/>
      <c r="Q654" s="377"/>
      <c r="R654" s="377"/>
      <c r="S654" s="377"/>
      <c r="T654" s="377">
        <f t="shared" ref="T654:T712" si="236">(F654+I654+J654)*25/100</f>
        <v>0</v>
      </c>
      <c r="U654" s="377"/>
      <c r="V654" s="376"/>
      <c r="W654" s="377"/>
      <c r="X654" s="377">
        <f t="shared" si="235"/>
        <v>0</v>
      </c>
      <c r="Y654" s="222">
        <f t="shared" si="228"/>
        <v>30000</v>
      </c>
      <c r="Z654" s="223">
        <f t="shared" si="223"/>
        <v>180000</v>
      </c>
    </row>
    <row r="655" spans="1:26" s="44" customFormat="1" ht="24" customHeight="1">
      <c r="A655" s="109">
        <v>25</v>
      </c>
      <c r="B655" s="110" t="s">
        <v>424</v>
      </c>
      <c r="C655" s="226"/>
      <c r="D655" s="226"/>
      <c r="E655" s="228">
        <f t="shared" si="234"/>
        <v>0.3</v>
      </c>
      <c r="F655" s="385"/>
      <c r="G655" s="376">
        <f t="shared" si="224"/>
        <v>0.3</v>
      </c>
      <c r="H655" s="377"/>
      <c r="I655" s="382"/>
      <c r="J655" s="377"/>
      <c r="K655" s="377"/>
      <c r="L655" s="383"/>
      <c r="M655" s="377"/>
      <c r="N655" s="377"/>
      <c r="O655" s="377">
        <v>0.3</v>
      </c>
      <c r="P655" s="377"/>
      <c r="Q655" s="377"/>
      <c r="R655" s="377"/>
      <c r="S655" s="377"/>
      <c r="T655" s="377">
        <f t="shared" si="236"/>
        <v>0</v>
      </c>
      <c r="U655" s="377"/>
      <c r="V655" s="376"/>
      <c r="W655" s="377"/>
      <c r="X655" s="377">
        <f t="shared" si="235"/>
        <v>0</v>
      </c>
      <c r="Y655" s="222">
        <f t="shared" si="228"/>
        <v>30000</v>
      </c>
      <c r="Z655" s="223">
        <f t="shared" si="223"/>
        <v>180000</v>
      </c>
    </row>
    <row r="656" spans="1:26" s="44" customFormat="1" ht="24" customHeight="1">
      <c r="A656" s="109">
        <v>26</v>
      </c>
      <c r="B656" s="110" t="s">
        <v>425</v>
      </c>
      <c r="C656" s="226"/>
      <c r="D656" s="226"/>
      <c r="E656" s="228">
        <f t="shared" si="234"/>
        <v>0.3</v>
      </c>
      <c r="F656" s="385"/>
      <c r="G656" s="376">
        <f t="shared" si="224"/>
        <v>0.3</v>
      </c>
      <c r="H656" s="377"/>
      <c r="I656" s="382"/>
      <c r="J656" s="377"/>
      <c r="K656" s="377"/>
      <c r="L656" s="383"/>
      <c r="M656" s="377"/>
      <c r="N656" s="377"/>
      <c r="O656" s="377">
        <v>0.3</v>
      </c>
      <c r="P656" s="377"/>
      <c r="Q656" s="377"/>
      <c r="R656" s="377"/>
      <c r="S656" s="377"/>
      <c r="T656" s="377">
        <f t="shared" si="236"/>
        <v>0</v>
      </c>
      <c r="U656" s="377"/>
      <c r="V656" s="376"/>
      <c r="W656" s="377"/>
      <c r="X656" s="377">
        <f t="shared" si="235"/>
        <v>0</v>
      </c>
      <c r="Y656" s="222">
        <f t="shared" si="228"/>
        <v>30000</v>
      </c>
      <c r="Z656" s="223">
        <f t="shared" si="223"/>
        <v>180000</v>
      </c>
    </row>
    <row r="657" spans="1:26" s="44" customFormat="1" ht="24" customHeight="1">
      <c r="A657" s="109">
        <v>27</v>
      </c>
      <c r="B657" s="110" t="s">
        <v>426</v>
      </c>
      <c r="C657" s="226"/>
      <c r="D657" s="226"/>
      <c r="E657" s="228">
        <f t="shared" si="234"/>
        <v>0.3</v>
      </c>
      <c r="F657" s="385"/>
      <c r="G657" s="376">
        <f t="shared" si="224"/>
        <v>0.3</v>
      </c>
      <c r="H657" s="377"/>
      <c r="I657" s="382"/>
      <c r="J657" s="377"/>
      <c r="K657" s="377"/>
      <c r="L657" s="383"/>
      <c r="M657" s="377"/>
      <c r="N657" s="377"/>
      <c r="O657" s="377">
        <v>0.3</v>
      </c>
      <c r="P657" s="377"/>
      <c r="Q657" s="377"/>
      <c r="R657" s="377"/>
      <c r="S657" s="377"/>
      <c r="T657" s="377">
        <f t="shared" si="236"/>
        <v>0</v>
      </c>
      <c r="U657" s="377"/>
      <c r="V657" s="376"/>
      <c r="W657" s="377"/>
      <c r="X657" s="377">
        <f t="shared" si="235"/>
        <v>0</v>
      </c>
      <c r="Y657" s="222">
        <f t="shared" si="228"/>
        <v>30000</v>
      </c>
      <c r="Z657" s="223">
        <f t="shared" si="223"/>
        <v>180000</v>
      </c>
    </row>
    <row r="658" spans="1:26" s="44" customFormat="1" ht="24" customHeight="1">
      <c r="A658" s="80" t="s">
        <v>615</v>
      </c>
      <c r="B658" s="45" t="s">
        <v>469</v>
      </c>
      <c r="C658" s="229">
        <v>21</v>
      </c>
      <c r="D658" s="229">
        <v>17</v>
      </c>
      <c r="E658" s="231">
        <f t="shared" ref="E658:X658" si="237">E659+E670+E678+E688+E713</f>
        <v>111.14790000000002</v>
      </c>
      <c r="F658" s="381">
        <f t="shared" si="237"/>
        <v>71.570000000000007</v>
      </c>
      <c r="G658" s="381">
        <f t="shared" si="237"/>
        <v>28.281099999999995</v>
      </c>
      <c r="H658" s="381">
        <f t="shared" si="237"/>
        <v>0</v>
      </c>
      <c r="I658" s="381">
        <f t="shared" si="237"/>
        <v>1.8499999999999996</v>
      </c>
      <c r="J658" s="381">
        <f t="shared" si="237"/>
        <v>0.83799999999999997</v>
      </c>
      <c r="K658" s="381">
        <f t="shared" si="237"/>
        <v>1.6500000000000001</v>
      </c>
      <c r="L658" s="407">
        <f t="shared" si="237"/>
        <v>1.9036000000000002</v>
      </c>
      <c r="M658" s="381">
        <f t="shared" si="237"/>
        <v>0</v>
      </c>
      <c r="N658" s="381">
        <f t="shared" si="237"/>
        <v>2.6999999999999997</v>
      </c>
      <c r="O658" s="381">
        <f t="shared" si="237"/>
        <v>7.1999999999999975</v>
      </c>
      <c r="P658" s="381">
        <f t="shared" si="237"/>
        <v>0</v>
      </c>
      <c r="Q658" s="381">
        <f t="shared" si="237"/>
        <v>0</v>
      </c>
      <c r="R658" s="381">
        <f t="shared" si="237"/>
        <v>0</v>
      </c>
      <c r="S658" s="381">
        <f t="shared" si="237"/>
        <v>0</v>
      </c>
      <c r="T658" s="381">
        <f t="shared" si="237"/>
        <v>12.1395</v>
      </c>
      <c r="U658" s="381">
        <f t="shared" si="237"/>
        <v>0</v>
      </c>
      <c r="V658" s="381">
        <f t="shared" si="237"/>
        <v>0</v>
      </c>
      <c r="W658" s="381">
        <f t="shared" si="237"/>
        <v>0</v>
      </c>
      <c r="X658" s="381">
        <f t="shared" si="237"/>
        <v>11.296799999999999</v>
      </c>
      <c r="Y658" s="232">
        <f>Y659+Y670+Y678+Y688+Y713</f>
        <v>11114790</v>
      </c>
      <c r="Z658" s="232">
        <f>Z659+Z670+Z678+Z688+Z713</f>
        <v>66688740</v>
      </c>
    </row>
    <row r="659" spans="1:26" s="44" customFormat="1" ht="24" customHeight="1">
      <c r="A659" s="81" t="s">
        <v>2</v>
      </c>
      <c r="B659" s="82" t="s">
        <v>138</v>
      </c>
      <c r="C659" s="34"/>
      <c r="D659" s="34"/>
      <c r="E659" s="230">
        <f>SUM(E660:E669)</f>
        <v>44.044650000000004</v>
      </c>
      <c r="F659" s="380">
        <f>SUM(F660:F669)</f>
        <v>25.95</v>
      </c>
      <c r="G659" s="380">
        <f>SUM(G660:G669)</f>
        <v>11.6511</v>
      </c>
      <c r="H659" s="380">
        <f>SUM(H660:H669)</f>
        <v>0</v>
      </c>
      <c r="I659" s="380">
        <f t="shared" ref="I659:X659" si="238">SUM(I660:I669)</f>
        <v>1.8499999999999996</v>
      </c>
      <c r="J659" s="380">
        <f t="shared" si="238"/>
        <v>0.83799999999999997</v>
      </c>
      <c r="K659" s="380">
        <f t="shared" si="238"/>
        <v>0</v>
      </c>
      <c r="L659" s="381">
        <f t="shared" si="238"/>
        <v>1.8036000000000001</v>
      </c>
      <c r="M659" s="380">
        <f t="shared" si="238"/>
        <v>0</v>
      </c>
      <c r="N659" s="380">
        <f t="shared" si="238"/>
        <v>0</v>
      </c>
      <c r="O659" s="380">
        <f t="shared" si="238"/>
        <v>0</v>
      </c>
      <c r="P659" s="380">
        <f t="shared" si="238"/>
        <v>0</v>
      </c>
      <c r="Q659" s="380">
        <f t="shared" si="238"/>
        <v>0</v>
      </c>
      <c r="R659" s="380">
        <f t="shared" si="238"/>
        <v>0</v>
      </c>
      <c r="S659" s="380">
        <f t="shared" si="238"/>
        <v>0</v>
      </c>
      <c r="T659" s="380">
        <f t="shared" si="238"/>
        <v>7.1594999999999995</v>
      </c>
      <c r="U659" s="380">
        <f t="shared" si="238"/>
        <v>0</v>
      </c>
      <c r="V659" s="380">
        <f t="shared" si="238"/>
        <v>0</v>
      </c>
      <c r="W659" s="380">
        <f t="shared" si="238"/>
        <v>0</v>
      </c>
      <c r="X659" s="380">
        <f t="shared" si="238"/>
        <v>6.4435499999999992</v>
      </c>
      <c r="Y659" s="229">
        <f>SUM(Y660:Y669)</f>
        <v>4404465</v>
      </c>
      <c r="Z659" s="229">
        <f>SUM(Z660:Z669)</f>
        <v>26426790</v>
      </c>
    </row>
    <row r="660" spans="1:26" s="44" customFormat="1" ht="24" customHeight="1">
      <c r="A660" s="98" t="s">
        <v>20</v>
      </c>
      <c r="B660" s="111" t="s">
        <v>470</v>
      </c>
      <c r="C660" s="274"/>
      <c r="D660" s="274"/>
      <c r="E660" s="228">
        <f t="shared" ref="E660:E669" si="239">+F660+G660+X660</f>
        <v>9.0240500000000008</v>
      </c>
      <c r="F660" s="409">
        <v>4.9800000000000004</v>
      </c>
      <c r="G660" s="376">
        <f t="shared" si="224"/>
        <v>2.6675</v>
      </c>
      <c r="H660" s="377"/>
      <c r="I660" s="409">
        <v>0.3</v>
      </c>
      <c r="J660" s="377">
        <v>0.83799999999999997</v>
      </c>
      <c r="K660" s="377"/>
      <c r="L660" s="382"/>
      <c r="M660" s="377"/>
      <c r="N660" s="377"/>
      <c r="O660" s="382"/>
      <c r="P660" s="377"/>
      <c r="Q660" s="377"/>
      <c r="R660" s="377"/>
      <c r="S660" s="377"/>
      <c r="T660" s="377">
        <f t="shared" si="236"/>
        <v>1.5295000000000001</v>
      </c>
      <c r="U660" s="377"/>
      <c r="V660" s="376"/>
      <c r="W660" s="377"/>
      <c r="X660" s="377">
        <f t="shared" ref="X660:X669" si="240">(F660+I660+J660+K660)*22.5/100</f>
        <v>1.3765499999999999</v>
      </c>
      <c r="Y660" s="222">
        <f t="shared" si="228"/>
        <v>902405.00000000012</v>
      </c>
      <c r="Z660" s="223">
        <f t="shared" si="223"/>
        <v>5414430.0000000009</v>
      </c>
    </row>
    <row r="661" spans="1:26" s="44" customFormat="1" ht="24" customHeight="1">
      <c r="A661" s="98" t="s">
        <v>140</v>
      </c>
      <c r="B661" s="111" t="s">
        <v>471</v>
      </c>
      <c r="C661" s="239"/>
      <c r="D661" s="239"/>
      <c r="E661" s="228">
        <f t="shared" si="239"/>
        <v>5.2402499999999996</v>
      </c>
      <c r="F661" s="410">
        <v>2.34</v>
      </c>
      <c r="G661" s="376">
        <f t="shared" si="224"/>
        <v>2.3174999999999999</v>
      </c>
      <c r="H661" s="377"/>
      <c r="I661" s="410">
        <v>0.25</v>
      </c>
      <c r="J661" s="377"/>
      <c r="K661" s="377"/>
      <c r="L661" s="385">
        <f>F661*0.5+I661</f>
        <v>1.42</v>
      </c>
      <c r="M661" s="377"/>
      <c r="N661" s="377"/>
      <c r="O661" s="382"/>
      <c r="P661" s="377"/>
      <c r="Q661" s="377"/>
      <c r="R661" s="377"/>
      <c r="S661" s="377"/>
      <c r="T661" s="377">
        <f t="shared" si="236"/>
        <v>0.64749999999999996</v>
      </c>
      <c r="U661" s="377"/>
      <c r="V661" s="376"/>
      <c r="W661" s="377"/>
      <c r="X661" s="377">
        <f t="shared" si="240"/>
        <v>0.58274999999999999</v>
      </c>
      <c r="Y661" s="222">
        <f t="shared" si="228"/>
        <v>524024.99999999994</v>
      </c>
      <c r="Z661" s="223">
        <f t="shared" si="223"/>
        <v>3144149.9999999995</v>
      </c>
    </row>
    <row r="662" spans="1:26" s="44" customFormat="1" ht="24" customHeight="1">
      <c r="A662" s="98" t="s">
        <v>21</v>
      </c>
      <c r="B662" s="111" t="s">
        <v>472</v>
      </c>
      <c r="C662" s="239"/>
      <c r="D662" s="239"/>
      <c r="E662" s="228">
        <f t="shared" si="239"/>
        <v>4.3070000000000004</v>
      </c>
      <c r="F662" s="410">
        <v>2.67</v>
      </c>
      <c r="G662" s="376">
        <f t="shared" si="224"/>
        <v>0.98</v>
      </c>
      <c r="H662" s="377"/>
      <c r="I662" s="410">
        <v>0.25</v>
      </c>
      <c r="J662" s="377"/>
      <c r="K662" s="377"/>
      <c r="L662" s="383"/>
      <c r="M662" s="377"/>
      <c r="N662" s="377"/>
      <c r="O662" s="382"/>
      <c r="P662" s="377"/>
      <c r="Q662" s="377"/>
      <c r="R662" s="377"/>
      <c r="S662" s="377"/>
      <c r="T662" s="377">
        <f t="shared" si="236"/>
        <v>0.73</v>
      </c>
      <c r="U662" s="377"/>
      <c r="V662" s="376"/>
      <c r="W662" s="377"/>
      <c r="X662" s="377">
        <f t="shared" si="240"/>
        <v>0.65700000000000003</v>
      </c>
      <c r="Y662" s="222">
        <f t="shared" si="228"/>
        <v>430700.00000000006</v>
      </c>
      <c r="Z662" s="223">
        <f t="shared" si="223"/>
        <v>2584200.0000000005</v>
      </c>
    </row>
    <row r="663" spans="1:26" s="44" customFormat="1" ht="24" customHeight="1">
      <c r="A663" s="98" t="s">
        <v>22</v>
      </c>
      <c r="B663" s="111" t="s">
        <v>473</v>
      </c>
      <c r="C663" s="239"/>
      <c r="D663" s="239"/>
      <c r="E663" s="228">
        <f t="shared" si="239"/>
        <v>3.7464999999999997</v>
      </c>
      <c r="F663" s="410">
        <v>2.34</v>
      </c>
      <c r="G663" s="376">
        <f t="shared" si="224"/>
        <v>0.83499999999999996</v>
      </c>
      <c r="H663" s="377"/>
      <c r="I663" s="410">
        <v>0.2</v>
      </c>
      <c r="J663" s="377"/>
      <c r="K663" s="377"/>
      <c r="L663" s="383"/>
      <c r="M663" s="377"/>
      <c r="N663" s="377"/>
      <c r="O663" s="382"/>
      <c r="P663" s="377"/>
      <c r="Q663" s="377"/>
      <c r="R663" s="377"/>
      <c r="S663" s="377"/>
      <c r="T663" s="377">
        <f t="shared" si="236"/>
        <v>0.63500000000000001</v>
      </c>
      <c r="U663" s="377"/>
      <c r="V663" s="376"/>
      <c r="W663" s="377"/>
      <c r="X663" s="377">
        <f t="shared" si="240"/>
        <v>0.57150000000000001</v>
      </c>
      <c r="Y663" s="222">
        <f t="shared" si="228"/>
        <v>374650</v>
      </c>
      <c r="Z663" s="223">
        <f t="shared" si="223"/>
        <v>2247900</v>
      </c>
    </row>
    <row r="664" spans="1:26" s="44" customFormat="1" ht="24" customHeight="1">
      <c r="A664" s="98" t="s">
        <v>12</v>
      </c>
      <c r="B664" s="99" t="s">
        <v>474</v>
      </c>
      <c r="C664" s="239"/>
      <c r="D664" s="239"/>
      <c r="E664" s="228">
        <f t="shared" si="239"/>
        <v>3.7464999999999997</v>
      </c>
      <c r="F664" s="410">
        <v>2.34</v>
      </c>
      <c r="G664" s="376">
        <f t="shared" si="224"/>
        <v>0.83499999999999996</v>
      </c>
      <c r="H664" s="377"/>
      <c r="I664" s="410">
        <v>0.2</v>
      </c>
      <c r="J664" s="377"/>
      <c r="K664" s="377"/>
      <c r="L664" s="383"/>
      <c r="M664" s="377"/>
      <c r="N664" s="377"/>
      <c r="O664" s="382"/>
      <c r="P664" s="377"/>
      <c r="Q664" s="377"/>
      <c r="R664" s="377"/>
      <c r="S664" s="377"/>
      <c r="T664" s="377">
        <f t="shared" si="236"/>
        <v>0.63500000000000001</v>
      </c>
      <c r="U664" s="377"/>
      <c r="V664" s="376"/>
      <c r="W664" s="377"/>
      <c r="X664" s="377">
        <f t="shared" si="240"/>
        <v>0.57150000000000001</v>
      </c>
      <c r="Y664" s="222">
        <f t="shared" si="228"/>
        <v>374650</v>
      </c>
      <c r="Z664" s="223">
        <f t="shared" si="223"/>
        <v>2247900</v>
      </c>
    </row>
    <row r="665" spans="1:26" s="44" customFormat="1" ht="24" customHeight="1">
      <c r="A665" s="98" t="s">
        <v>36</v>
      </c>
      <c r="B665" s="111" t="s">
        <v>476</v>
      </c>
      <c r="C665" s="239"/>
      <c r="D665" s="239"/>
      <c r="E665" s="228">
        <f t="shared" si="239"/>
        <v>4.4341500000000007</v>
      </c>
      <c r="F665" s="410">
        <v>2.67</v>
      </c>
      <c r="G665" s="376">
        <f t="shared" si="224"/>
        <v>1.1184000000000001</v>
      </c>
      <c r="H665" s="377"/>
      <c r="I665" s="410">
        <v>0.2</v>
      </c>
      <c r="J665" s="377"/>
      <c r="K665" s="377"/>
      <c r="L665" s="385">
        <f>(F665+I665)*7%</f>
        <v>0.20090000000000002</v>
      </c>
      <c r="M665" s="377"/>
      <c r="N665" s="377"/>
      <c r="O665" s="382"/>
      <c r="P665" s="377"/>
      <c r="Q665" s="377"/>
      <c r="R665" s="377"/>
      <c r="S665" s="377"/>
      <c r="T665" s="377">
        <f t="shared" si="236"/>
        <v>0.71750000000000003</v>
      </c>
      <c r="U665" s="377"/>
      <c r="V665" s="376"/>
      <c r="W665" s="377"/>
      <c r="X665" s="377">
        <f t="shared" si="240"/>
        <v>0.64575000000000005</v>
      </c>
      <c r="Y665" s="222">
        <f t="shared" si="228"/>
        <v>443415.00000000006</v>
      </c>
      <c r="Z665" s="223">
        <f t="shared" si="223"/>
        <v>2660490.0000000005</v>
      </c>
    </row>
    <row r="666" spans="1:26" s="44" customFormat="1" ht="24" customHeight="1">
      <c r="A666" s="98" t="s">
        <v>37</v>
      </c>
      <c r="B666" s="111" t="s">
        <v>477</v>
      </c>
      <c r="C666" s="239"/>
      <c r="D666" s="239"/>
      <c r="E666" s="228">
        <f t="shared" si="239"/>
        <v>4.0324499999999999</v>
      </c>
      <c r="F666" s="410">
        <v>2.46</v>
      </c>
      <c r="G666" s="376">
        <f t="shared" si="224"/>
        <v>0.98519999999999996</v>
      </c>
      <c r="H666" s="377"/>
      <c r="I666" s="410">
        <v>0.15</v>
      </c>
      <c r="J666" s="377"/>
      <c r="K666" s="377"/>
      <c r="L666" s="385">
        <f>(F666+I666)*7%</f>
        <v>0.1827</v>
      </c>
      <c r="M666" s="377"/>
      <c r="N666" s="377"/>
      <c r="O666" s="382"/>
      <c r="P666" s="377"/>
      <c r="Q666" s="377"/>
      <c r="R666" s="377"/>
      <c r="S666" s="377"/>
      <c r="T666" s="377">
        <f t="shared" si="236"/>
        <v>0.65249999999999997</v>
      </c>
      <c r="U666" s="377"/>
      <c r="V666" s="376"/>
      <c r="W666" s="377"/>
      <c r="X666" s="377">
        <f t="shared" si="240"/>
        <v>0.58724999999999994</v>
      </c>
      <c r="Y666" s="222">
        <f t="shared" si="228"/>
        <v>403245</v>
      </c>
      <c r="Z666" s="223">
        <f t="shared" ref="Z666:Z728" si="241">Y666*6</f>
        <v>2419470</v>
      </c>
    </row>
    <row r="667" spans="1:26" s="44" customFormat="1" ht="24" customHeight="1">
      <c r="A667" s="98" t="s">
        <v>146</v>
      </c>
      <c r="B667" s="111" t="s">
        <v>478</v>
      </c>
      <c r="C667" s="239"/>
      <c r="D667" s="239"/>
      <c r="E667" s="228">
        <f t="shared" si="239"/>
        <v>3.6727499999999997</v>
      </c>
      <c r="F667" s="410">
        <v>2.34</v>
      </c>
      <c r="G667" s="376">
        <f t="shared" si="224"/>
        <v>0.77249999999999996</v>
      </c>
      <c r="H667" s="377"/>
      <c r="I667" s="410">
        <v>0.15</v>
      </c>
      <c r="J667" s="377"/>
      <c r="K667" s="377"/>
      <c r="L667" s="383"/>
      <c r="M667" s="377"/>
      <c r="N667" s="377"/>
      <c r="O667" s="382"/>
      <c r="P667" s="377"/>
      <c r="Q667" s="377"/>
      <c r="R667" s="377"/>
      <c r="S667" s="377"/>
      <c r="T667" s="377">
        <f t="shared" si="236"/>
        <v>0.62249999999999994</v>
      </c>
      <c r="U667" s="377"/>
      <c r="V667" s="376"/>
      <c r="W667" s="377"/>
      <c r="X667" s="377">
        <f t="shared" si="240"/>
        <v>0.56024999999999991</v>
      </c>
      <c r="Y667" s="222">
        <f t="shared" si="228"/>
        <v>367275</v>
      </c>
      <c r="Z667" s="223">
        <f t="shared" si="241"/>
        <v>2203650</v>
      </c>
    </row>
    <row r="668" spans="1:26" s="44" customFormat="1" ht="24" customHeight="1">
      <c r="A668" s="98" t="s">
        <v>148</v>
      </c>
      <c r="B668" s="111" t="s">
        <v>487</v>
      </c>
      <c r="C668" s="239"/>
      <c r="D668" s="239"/>
      <c r="E668" s="228">
        <f t="shared" si="239"/>
        <v>3.2597500000000004</v>
      </c>
      <c r="F668" s="410">
        <v>2.06</v>
      </c>
      <c r="G668" s="376">
        <f t="shared" si="224"/>
        <v>0.70250000000000001</v>
      </c>
      <c r="H668" s="377"/>
      <c r="I668" s="410">
        <v>0.15</v>
      </c>
      <c r="J668" s="377"/>
      <c r="K668" s="377"/>
      <c r="L668" s="383"/>
      <c r="M668" s="377"/>
      <c r="N668" s="377"/>
      <c r="O668" s="382"/>
      <c r="P668" s="377"/>
      <c r="Q668" s="377"/>
      <c r="R668" s="377"/>
      <c r="S668" s="377"/>
      <c r="T668" s="377">
        <f t="shared" si="236"/>
        <v>0.55249999999999999</v>
      </c>
      <c r="U668" s="377"/>
      <c r="V668" s="376"/>
      <c r="W668" s="377"/>
      <c r="X668" s="377">
        <f t="shared" si="240"/>
        <v>0.49725000000000003</v>
      </c>
      <c r="Y668" s="222">
        <f t="shared" si="228"/>
        <v>325975.00000000006</v>
      </c>
      <c r="Z668" s="223">
        <f t="shared" si="241"/>
        <v>1955850.0000000005</v>
      </c>
    </row>
    <row r="669" spans="1:26" s="44" customFormat="1" ht="24" customHeight="1">
      <c r="A669" s="98" t="s">
        <v>150</v>
      </c>
      <c r="B669" s="111" t="s">
        <v>479</v>
      </c>
      <c r="C669" s="239"/>
      <c r="D669" s="239"/>
      <c r="E669" s="228">
        <f t="shared" si="239"/>
        <v>2.5812499999999998</v>
      </c>
      <c r="F669" s="410">
        <v>1.75</v>
      </c>
      <c r="G669" s="376">
        <f t="shared" si="224"/>
        <v>0.4375</v>
      </c>
      <c r="H669" s="377"/>
      <c r="I669" s="410"/>
      <c r="J669" s="377"/>
      <c r="K669" s="377"/>
      <c r="L669" s="383"/>
      <c r="M669" s="377"/>
      <c r="N669" s="377"/>
      <c r="O669" s="382"/>
      <c r="P669" s="377"/>
      <c r="Q669" s="377"/>
      <c r="R669" s="377"/>
      <c r="S669" s="377"/>
      <c r="T669" s="377">
        <f t="shared" si="236"/>
        <v>0.4375</v>
      </c>
      <c r="U669" s="377"/>
      <c r="V669" s="376"/>
      <c r="W669" s="377"/>
      <c r="X669" s="377">
        <f t="shared" si="240"/>
        <v>0.39374999999999999</v>
      </c>
      <c r="Y669" s="222">
        <f t="shared" si="228"/>
        <v>258124.99999999997</v>
      </c>
      <c r="Z669" s="223">
        <f t="shared" si="241"/>
        <v>1548749.9999999998</v>
      </c>
    </row>
    <row r="670" spans="1:26" s="44" customFormat="1" ht="24" customHeight="1">
      <c r="A670" s="81" t="s">
        <v>3</v>
      </c>
      <c r="B670" s="245" t="s">
        <v>152</v>
      </c>
      <c r="C670" s="241"/>
      <c r="D670" s="241"/>
      <c r="E670" s="275">
        <f t="shared" ref="E670:Z670" si="242">SUM(E671:E677)</f>
        <v>29.382000000000001</v>
      </c>
      <c r="F670" s="411">
        <f t="shared" si="242"/>
        <v>19.920000000000002</v>
      </c>
      <c r="G670" s="411">
        <f t="shared" si="242"/>
        <v>4.9800000000000004</v>
      </c>
      <c r="H670" s="411">
        <f t="shared" si="242"/>
        <v>0</v>
      </c>
      <c r="I670" s="411">
        <f t="shared" si="242"/>
        <v>0</v>
      </c>
      <c r="J670" s="411">
        <f t="shared" si="242"/>
        <v>0</v>
      </c>
      <c r="K670" s="411">
        <f t="shared" si="242"/>
        <v>0</v>
      </c>
      <c r="L670" s="412">
        <f t="shared" si="242"/>
        <v>0</v>
      </c>
      <c r="M670" s="411">
        <f t="shared" si="242"/>
        <v>0</v>
      </c>
      <c r="N670" s="411">
        <f t="shared" si="242"/>
        <v>0</v>
      </c>
      <c r="O670" s="411">
        <f t="shared" si="242"/>
        <v>0</v>
      </c>
      <c r="P670" s="411">
        <f t="shared" si="242"/>
        <v>0</v>
      </c>
      <c r="Q670" s="411">
        <f t="shared" si="242"/>
        <v>0</v>
      </c>
      <c r="R670" s="411">
        <f t="shared" si="242"/>
        <v>0</v>
      </c>
      <c r="S670" s="411">
        <f t="shared" si="242"/>
        <v>0</v>
      </c>
      <c r="T670" s="411">
        <f t="shared" si="242"/>
        <v>4.9800000000000004</v>
      </c>
      <c r="U670" s="411">
        <f t="shared" si="242"/>
        <v>0</v>
      </c>
      <c r="V670" s="411">
        <f t="shared" si="242"/>
        <v>0</v>
      </c>
      <c r="W670" s="411">
        <f t="shared" si="242"/>
        <v>0</v>
      </c>
      <c r="X670" s="411">
        <f t="shared" si="242"/>
        <v>4.4820000000000002</v>
      </c>
      <c r="Y670" s="34">
        <f t="shared" si="242"/>
        <v>2938200</v>
      </c>
      <c r="Z670" s="34">
        <f t="shared" si="242"/>
        <v>17629200</v>
      </c>
    </row>
    <row r="671" spans="1:26" s="44" customFormat="1" ht="24" customHeight="1">
      <c r="A671" s="100" t="s">
        <v>20</v>
      </c>
      <c r="B671" s="111" t="s">
        <v>480</v>
      </c>
      <c r="C671" s="239"/>
      <c r="D671" s="239"/>
      <c r="E671" s="228">
        <f t="shared" ref="E671:E677" si="243">+F671+G671+X671</f>
        <v>4.8084999999999996</v>
      </c>
      <c r="F671" s="410">
        <v>3.26</v>
      </c>
      <c r="G671" s="376">
        <f t="shared" si="224"/>
        <v>0.81499999999999995</v>
      </c>
      <c r="H671" s="377"/>
      <c r="I671" s="382"/>
      <c r="J671" s="377"/>
      <c r="K671" s="377"/>
      <c r="L671" s="383"/>
      <c r="M671" s="377"/>
      <c r="N671" s="377"/>
      <c r="O671" s="382"/>
      <c r="P671" s="377"/>
      <c r="Q671" s="377"/>
      <c r="R671" s="377"/>
      <c r="S671" s="377"/>
      <c r="T671" s="377">
        <f t="shared" si="236"/>
        <v>0.81499999999999995</v>
      </c>
      <c r="U671" s="377"/>
      <c r="V671" s="376"/>
      <c r="W671" s="377"/>
      <c r="X671" s="377">
        <f t="shared" ref="X671:X677" si="244">(F671+I671+J671+K671)*22.5/100</f>
        <v>0.73349999999999993</v>
      </c>
      <c r="Y671" s="222">
        <f t="shared" si="228"/>
        <v>480849.99999999994</v>
      </c>
      <c r="Z671" s="223">
        <f t="shared" si="241"/>
        <v>2885099.9999999995</v>
      </c>
    </row>
    <row r="672" spans="1:26" s="44" customFormat="1" ht="24" customHeight="1">
      <c r="A672" s="100" t="s">
        <v>140</v>
      </c>
      <c r="B672" s="111" t="s">
        <v>481</v>
      </c>
      <c r="C672" s="239"/>
      <c r="D672" s="239"/>
      <c r="E672" s="228">
        <f t="shared" si="243"/>
        <v>3.93825</v>
      </c>
      <c r="F672" s="413">
        <v>2.67</v>
      </c>
      <c r="G672" s="376">
        <f t="shared" si="224"/>
        <v>0.66749999999999998</v>
      </c>
      <c r="H672" s="377"/>
      <c r="I672" s="382"/>
      <c r="J672" s="377"/>
      <c r="K672" s="377"/>
      <c r="L672" s="383"/>
      <c r="M672" s="377"/>
      <c r="N672" s="377"/>
      <c r="O672" s="382"/>
      <c r="P672" s="377"/>
      <c r="Q672" s="377"/>
      <c r="R672" s="377"/>
      <c r="S672" s="377"/>
      <c r="T672" s="377">
        <f t="shared" si="236"/>
        <v>0.66749999999999998</v>
      </c>
      <c r="U672" s="377"/>
      <c r="V672" s="376"/>
      <c r="W672" s="377"/>
      <c r="X672" s="377">
        <f t="shared" si="244"/>
        <v>0.60075000000000001</v>
      </c>
      <c r="Y672" s="222">
        <f t="shared" si="228"/>
        <v>393825</v>
      </c>
      <c r="Z672" s="223">
        <f t="shared" si="241"/>
        <v>2362950</v>
      </c>
    </row>
    <row r="673" spans="1:26" s="44" customFormat="1" ht="24" customHeight="1">
      <c r="A673" s="100" t="s">
        <v>21</v>
      </c>
      <c r="B673" s="111" t="s">
        <v>482</v>
      </c>
      <c r="C673" s="239"/>
      <c r="D673" s="239"/>
      <c r="E673" s="228">
        <f t="shared" si="243"/>
        <v>3.9235000000000002</v>
      </c>
      <c r="F673" s="413">
        <v>2.66</v>
      </c>
      <c r="G673" s="376">
        <f t="shared" si="224"/>
        <v>0.66500000000000004</v>
      </c>
      <c r="H673" s="377"/>
      <c r="I673" s="382"/>
      <c r="J673" s="377"/>
      <c r="K673" s="377"/>
      <c r="L673" s="383"/>
      <c r="M673" s="377"/>
      <c r="N673" s="377"/>
      <c r="O673" s="382"/>
      <c r="P673" s="377"/>
      <c r="Q673" s="377"/>
      <c r="R673" s="377"/>
      <c r="S673" s="377"/>
      <c r="T673" s="377">
        <f t="shared" si="236"/>
        <v>0.66500000000000004</v>
      </c>
      <c r="U673" s="377"/>
      <c r="V673" s="376"/>
      <c r="W673" s="377"/>
      <c r="X673" s="377">
        <f t="shared" si="244"/>
        <v>0.59850000000000003</v>
      </c>
      <c r="Y673" s="222">
        <f t="shared" si="228"/>
        <v>392350</v>
      </c>
      <c r="Z673" s="223">
        <f t="shared" si="241"/>
        <v>2354100</v>
      </c>
    </row>
    <row r="674" spans="1:26" s="44" customFormat="1" ht="24" customHeight="1">
      <c r="A674" s="100" t="s">
        <v>22</v>
      </c>
      <c r="B674" s="111" t="s">
        <v>483</v>
      </c>
      <c r="C674" s="239"/>
      <c r="D674" s="239"/>
      <c r="E674" s="228">
        <f t="shared" si="243"/>
        <v>3.93825</v>
      </c>
      <c r="F674" s="413">
        <v>2.67</v>
      </c>
      <c r="G674" s="376">
        <f t="shared" ref="G674:G734" si="245">+SUM(H674:W674)</f>
        <v>0.66749999999999998</v>
      </c>
      <c r="H674" s="377"/>
      <c r="I674" s="382"/>
      <c r="J674" s="377"/>
      <c r="K674" s="377"/>
      <c r="L674" s="383"/>
      <c r="M674" s="377"/>
      <c r="N674" s="377"/>
      <c r="O674" s="382"/>
      <c r="P674" s="377"/>
      <c r="Q674" s="377"/>
      <c r="R674" s="377"/>
      <c r="S674" s="377"/>
      <c r="T674" s="377">
        <f t="shared" si="236"/>
        <v>0.66749999999999998</v>
      </c>
      <c r="U674" s="377"/>
      <c r="V674" s="376"/>
      <c r="W674" s="377"/>
      <c r="X674" s="377">
        <f t="shared" si="244"/>
        <v>0.60075000000000001</v>
      </c>
      <c r="Y674" s="222">
        <f t="shared" si="228"/>
        <v>393825</v>
      </c>
      <c r="Z674" s="223">
        <f t="shared" si="241"/>
        <v>2362950</v>
      </c>
    </row>
    <row r="675" spans="1:26" s="44" customFormat="1" ht="24" customHeight="1">
      <c r="A675" s="100" t="s">
        <v>12</v>
      </c>
      <c r="B675" s="111" t="s">
        <v>484</v>
      </c>
      <c r="C675" s="239"/>
      <c r="D675" s="239"/>
      <c r="E675" s="228">
        <f t="shared" si="243"/>
        <v>3.9235000000000002</v>
      </c>
      <c r="F675" s="413">
        <v>2.66</v>
      </c>
      <c r="G675" s="376">
        <f t="shared" si="245"/>
        <v>0.66500000000000004</v>
      </c>
      <c r="H675" s="377"/>
      <c r="I675" s="382"/>
      <c r="J675" s="377"/>
      <c r="K675" s="377"/>
      <c r="L675" s="383"/>
      <c r="M675" s="377"/>
      <c r="N675" s="377"/>
      <c r="O675" s="382"/>
      <c r="P675" s="377"/>
      <c r="Q675" s="377"/>
      <c r="R675" s="377"/>
      <c r="S675" s="377"/>
      <c r="T675" s="377">
        <f t="shared" si="236"/>
        <v>0.66500000000000004</v>
      </c>
      <c r="U675" s="377"/>
      <c r="V675" s="376"/>
      <c r="W675" s="377"/>
      <c r="X675" s="377">
        <f t="shared" si="244"/>
        <v>0.59850000000000003</v>
      </c>
      <c r="Y675" s="222">
        <f t="shared" si="228"/>
        <v>392350</v>
      </c>
      <c r="Z675" s="223">
        <f t="shared" si="241"/>
        <v>2354100</v>
      </c>
    </row>
    <row r="676" spans="1:26" s="44" customFormat="1" ht="24" customHeight="1">
      <c r="A676" s="112">
        <v>6</v>
      </c>
      <c r="B676" s="111" t="s">
        <v>485</v>
      </c>
      <c r="C676" s="239"/>
      <c r="D676" s="239"/>
      <c r="E676" s="228">
        <f t="shared" si="243"/>
        <v>4.4249999999999998</v>
      </c>
      <c r="F676" s="413">
        <v>3</v>
      </c>
      <c r="G676" s="376">
        <f t="shared" si="245"/>
        <v>0.75</v>
      </c>
      <c r="H676" s="377"/>
      <c r="I676" s="382"/>
      <c r="J676" s="377"/>
      <c r="K676" s="377"/>
      <c r="L676" s="383"/>
      <c r="M676" s="377"/>
      <c r="N676" s="377"/>
      <c r="O676" s="382"/>
      <c r="P676" s="377"/>
      <c r="Q676" s="377"/>
      <c r="R676" s="377"/>
      <c r="S676" s="377"/>
      <c r="T676" s="377">
        <f t="shared" si="236"/>
        <v>0.75</v>
      </c>
      <c r="U676" s="377"/>
      <c r="V676" s="376"/>
      <c r="W676" s="377"/>
      <c r="X676" s="377">
        <f t="shared" si="244"/>
        <v>0.67500000000000004</v>
      </c>
      <c r="Y676" s="222">
        <f t="shared" ref="Y676:Y737" si="246">E676*100000</f>
        <v>442500</v>
      </c>
      <c r="Z676" s="223">
        <f t="shared" si="241"/>
        <v>2655000</v>
      </c>
    </row>
    <row r="677" spans="1:26" s="44" customFormat="1" ht="24" customHeight="1">
      <c r="A677" s="112">
        <v>7</v>
      </c>
      <c r="B677" s="111" t="s">
        <v>486</v>
      </c>
      <c r="C677" s="239"/>
      <c r="D677" s="239"/>
      <c r="E677" s="228">
        <f t="shared" si="243"/>
        <v>4.4249999999999998</v>
      </c>
      <c r="F677" s="413">
        <v>3</v>
      </c>
      <c r="G677" s="376">
        <f t="shared" si="245"/>
        <v>0.75</v>
      </c>
      <c r="H677" s="377"/>
      <c r="I677" s="382"/>
      <c r="J677" s="377"/>
      <c r="K677" s="377"/>
      <c r="L677" s="383"/>
      <c r="M677" s="377"/>
      <c r="N677" s="377"/>
      <c r="O677" s="382"/>
      <c r="P677" s="377"/>
      <c r="Q677" s="377"/>
      <c r="R677" s="377"/>
      <c r="S677" s="377"/>
      <c r="T677" s="377">
        <f t="shared" si="236"/>
        <v>0.75</v>
      </c>
      <c r="U677" s="377"/>
      <c r="V677" s="376"/>
      <c r="W677" s="377"/>
      <c r="X677" s="377">
        <f t="shared" si="244"/>
        <v>0.67500000000000004</v>
      </c>
      <c r="Y677" s="222">
        <f t="shared" si="246"/>
        <v>442500</v>
      </c>
      <c r="Z677" s="223">
        <f t="shared" si="241"/>
        <v>2655000</v>
      </c>
    </row>
    <row r="678" spans="1:26" s="44" customFormat="1" ht="24" customHeight="1">
      <c r="A678" s="81" t="s">
        <v>4</v>
      </c>
      <c r="B678" s="240" t="s">
        <v>330</v>
      </c>
      <c r="C678" s="237"/>
      <c r="D678" s="237"/>
      <c r="E678" s="231">
        <f>SUM(E679:E687)</f>
        <v>4.82125</v>
      </c>
      <c r="F678" s="381">
        <f t="shared" ref="F678:Z678" si="247">SUM(F679:F687)</f>
        <v>0</v>
      </c>
      <c r="G678" s="381">
        <f t="shared" si="247"/>
        <v>4.45</v>
      </c>
      <c r="H678" s="381">
        <f t="shared" si="247"/>
        <v>0</v>
      </c>
      <c r="I678" s="381">
        <f t="shared" si="247"/>
        <v>0</v>
      </c>
      <c r="J678" s="381">
        <f t="shared" si="247"/>
        <v>0</v>
      </c>
      <c r="K678" s="381">
        <f t="shared" si="247"/>
        <v>1.6500000000000001</v>
      </c>
      <c r="L678" s="381">
        <f t="shared" si="247"/>
        <v>0.1</v>
      </c>
      <c r="M678" s="381">
        <f t="shared" si="247"/>
        <v>0</v>
      </c>
      <c r="N678" s="381">
        <f t="shared" si="247"/>
        <v>2.6999999999999997</v>
      </c>
      <c r="O678" s="381">
        <f t="shared" si="247"/>
        <v>0</v>
      </c>
      <c r="P678" s="381">
        <f t="shared" si="247"/>
        <v>0</v>
      </c>
      <c r="Q678" s="381">
        <f t="shared" si="247"/>
        <v>0</v>
      </c>
      <c r="R678" s="381">
        <f t="shared" si="247"/>
        <v>0</v>
      </c>
      <c r="S678" s="381">
        <f t="shared" si="247"/>
        <v>0</v>
      </c>
      <c r="T678" s="381">
        <f t="shared" si="247"/>
        <v>0</v>
      </c>
      <c r="U678" s="381">
        <f t="shared" si="247"/>
        <v>0</v>
      </c>
      <c r="V678" s="381">
        <f t="shared" si="247"/>
        <v>0</v>
      </c>
      <c r="W678" s="381">
        <f t="shared" si="247"/>
        <v>0</v>
      </c>
      <c r="X678" s="381">
        <f t="shared" si="247"/>
        <v>0.37125000000000002</v>
      </c>
      <c r="Y678" s="236">
        <f t="shared" si="247"/>
        <v>482125</v>
      </c>
      <c r="Z678" s="236">
        <f t="shared" si="247"/>
        <v>2892750</v>
      </c>
    </row>
    <row r="679" spans="1:26" s="44" customFormat="1" ht="24" customHeight="1">
      <c r="A679" s="71">
        <v>1</v>
      </c>
      <c r="B679" s="72" t="s">
        <v>475</v>
      </c>
      <c r="C679" s="237"/>
      <c r="D679" s="237"/>
      <c r="E679" s="228">
        <f t="shared" ref="E679:E687" si="248">+F679+G679+X679</f>
        <v>0.4</v>
      </c>
      <c r="F679" s="414"/>
      <c r="G679" s="376">
        <f t="shared" si="245"/>
        <v>0.4</v>
      </c>
      <c r="H679" s="377"/>
      <c r="I679" s="382"/>
      <c r="J679" s="377"/>
      <c r="K679" s="377"/>
      <c r="L679" s="385">
        <f>1*10%</f>
        <v>0.1</v>
      </c>
      <c r="M679" s="377"/>
      <c r="N679" s="377">
        <v>0.3</v>
      </c>
      <c r="O679" s="382"/>
      <c r="P679" s="377"/>
      <c r="Q679" s="377"/>
      <c r="R679" s="377"/>
      <c r="S679" s="377"/>
      <c r="T679" s="377">
        <f t="shared" si="236"/>
        <v>0</v>
      </c>
      <c r="U679" s="377"/>
      <c r="V679" s="376"/>
      <c r="W679" s="377"/>
      <c r="X679" s="377">
        <f t="shared" ref="X679:X687" si="249">(F679+I679+J679+K679)*22.5/100</f>
        <v>0</v>
      </c>
      <c r="Y679" s="222">
        <f t="shared" si="246"/>
        <v>40000</v>
      </c>
      <c r="Z679" s="223">
        <f t="shared" si="241"/>
        <v>240000</v>
      </c>
    </row>
    <row r="680" spans="1:26" s="44" customFormat="1" ht="24" customHeight="1">
      <c r="A680" s="71">
        <v>2</v>
      </c>
      <c r="B680" s="72" t="s">
        <v>471</v>
      </c>
      <c r="C680" s="237"/>
      <c r="D680" s="237"/>
      <c r="E680" s="228">
        <f t="shared" si="248"/>
        <v>0.3</v>
      </c>
      <c r="F680" s="414"/>
      <c r="G680" s="376">
        <f t="shared" si="245"/>
        <v>0.3</v>
      </c>
      <c r="H680" s="377"/>
      <c r="I680" s="382"/>
      <c r="J680" s="377"/>
      <c r="K680" s="377"/>
      <c r="L680" s="383"/>
      <c r="M680" s="377"/>
      <c r="N680" s="377">
        <v>0.3</v>
      </c>
      <c r="O680" s="382"/>
      <c r="P680" s="377"/>
      <c r="Q680" s="377"/>
      <c r="R680" s="377"/>
      <c r="S680" s="377"/>
      <c r="T680" s="377">
        <f t="shared" si="236"/>
        <v>0</v>
      </c>
      <c r="U680" s="377"/>
      <c r="V680" s="376"/>
      <c r="W680" s="377"/>
      <c r="X680" s="377">
        <f t="shared" si="249"/>
        <v>0</v>
      </c>
      <c r="Y680" s="222">
        <f t="shared" si="246"/>
        <v>30000</v>
      </c>
      <c r="Z680" s="223">
        <f t="shared" si="241"/>
        <v>180000</v>
      </c>
    </row>
    <row r="681" spans="1:26" s="44" customFormat="1" ht="24" customHeight="1">
      <c r="A681" s="71">
        <v>3</v>
      </c>
      <c r="B681" s="72" t="s">
        <v>473</v>
      </c>
      <c r="C681" s="237"/>
      <c r="D681" s="237"/>
      <c r="E681" s="228">
        <f t="shared" si="248"/>
        <v>0.3</v>
      </c>
      <c r="F681" s="414"/>
      <c r="G681" s="376">
        <f t="shared" si="245"/>
        <v>0.3</v>
      </c>
      <c r="H681" s="377"/>
      <c r="I681" s="382"/>
      <c r="J681" s="377"/>
      <c r="K681" s="377"/>
      <c r="L681" s="383"/>
      <c r="M681" s="377"/>
      <c r="N681" s="377">
        <v>0.3</v>
      </c>
      <c r="O681" s="382"/>
      <c r="P681" s="377"/>
      <c r="Q681" s="377"/>
      <c r="R681" s="377"/>
      <c r="S681" s="377"/>
      <c r="T681" s="377">
        <f t="shared" si="236"/>
        <v>0</v>
      </c>
      <c r="U681" s="377"/>
      <c r="V681" s="376"/>
      <c r="W681" s="377"/>
      <c r="X681" s="377">
        <f t="shared" si="249"/>
        <v>0</v>
      </c>
      <c r="Y681" s="222">
        <f t="shared" si="246"/>
        <v>30000</v>
      </c>
      <c r="Z681" s="223">
        <f t="shared" si="241"/>
        <v>180000</v>
      </c>
    </row>
    <row r="682" spans="1:26" s="44" customFormat="1" ht="24" customHeight="1">
      <c r="A682" s="71">
        <v>4</v>
      </c>
      <c r="B682" s="72" t="s">
        <v>478</v>
      </c>
      <c r="C682" s="237"/>
      <c r="D682" s="237"/>
      <c r="E682" s="228">
        <f t="shared" si="248"/>
        <v>0.3</v>
      </c>
      <c r="F682" s="414"/>
      <c r="G682" s="376">
        <f t="shared" si="245"/>
        <v>0.3</v>
      </c>
      <c r="H682" s="377"/>
      <c r="I682" s="382"/>
      <c r="J682" s="377"/>
      <c r="K682" s="377"/>
      <c r="L682" s="383"/>
      <c r="M682" s="377"/>
      <c r="N682" s="377">
        <v>0.3</v>
      </c>
      <c r="O682" s="382"/>
      <c r="P682" s="377"/>
      <c r="Q682" s="377"/>
      <c r="R682" s="377"/>
      <c r="S682" s="377"/>
      <c r="T682" s="377">
        <f t="shared" si="236"/>
        <v>0</v>
      </c>
      <c r="U682" s="377"/>
      <c r="V682" s="376"/>
      <c r="W682" s="377"/>
      <c r="X682" s="377">
        <f t="shared" si="249"/>
        <v>0</v>
      </c>
      <c r="Y682" s="222">
        <f t="shared" si="246"/>
        <v>30000</v>
      </c>
      <c r="Z682" s="223">
        <f t="shared" si="241"/>
        <v>180000</v>
      </c>
    </row>
    <row r="683" spans="1:26" s="44" customFormat="1" ht="24" customHeight="1">
      <c r="A683" s="71">
        <v>5</v>
      </c>
      <c r="B683" s="72" t="s">
        <v>472</v>
      </c>
      <c r="C683" s="237"/>
      <c r="D683" s="237"/>
      <c r="E683" s="228">
        <f t="shared" si="248"/>
        <v>0.3</v>
      </c>
      <c r="F683" s="414"/>
      <c r="G683" s="376">
        <f t="shared" si="245"/>
        <v>0.3</v>
      </c>
      <c r="H683" s="377"/>
      <c r="I683" s="382"/>
      <c r="J683" s="377"/>
      <c r="K683" s="377"/>
      <c r="L683" s="383"/>
      <c r="M683" s="377"/>
      <c r="N683" s="377">
        <v>0.3</v>
      </c>
      <c r="O683" s="382"/>
      <c r="P683" s="377"/>
      <c r="Q683" s="377"/>
      <c r="R683" s="377"/>
      <c r="S683" s="377"/>
      <c r="T683" s="377">
        <f t="shared" si="236"/>
        <v>0</v>
      </c>
      <c r="U683" s="377"/>
      <c r="V683" s="376"/>
      <c r="W683" s="377"/>
      <c r="X683" s="377">
        <f t="shared" si="249"/>
        <v>0</v>
      </c>
      <c r="Y683" s="222">
        <f t="shared" si="246"/>
        <v>30000</v>
      </c>
      <c r="Z683" s="223">
        <f t="shared" si="241"/>
        <v>180000</v>
      </c>
    </row>
    <row r="684" spans="1:26" s="44" customFormat="1" ht="24" customHeight="1">
      <c r="A684" s="71">
        <v>6</v>
      </c>
      <c r="B684" s="72" t="s">
        <v>474</v>
      </c>
      <c r="C684" s="237"/>
      <c r="D684" s="237"/>
      <c r="E684" s="228">
        <f t="shared" si="248"/>
        <v>0.3</v>
      </c>
      <c r="F684" s="414"/>
      <c r="G684" s="376">
        <f t="shared" si="245"/>
        <v>0.3</v>
      </c>
      <c r="H684" s="377"/>
      <c r="I684" s="382"/>
      <c r="J684" s="377"/>
      <c r="K684" s="377"/>
      <c r="L684" s="383"/>
      <c r="M684" s="377"/>
      <c r="N684" s="377">
        <v>0.3</v>
      </c>
      <c r="O684" s="382"/>
      <c r="P684" s="377"/>
      <c r="Q684" s="377"/>
      <c r="R684" s="377"/>
      <c r="S684" s="377"/>
      <c r="T684" s="377">
        <f t="shared" si="236"/>
        <v>0</v>
      </c>
      <c r="U684" s="377"/>
      <c r="V684" s="376"/>
      <c r="W684" s="377"/>
      <c r="X684" s="377">
        <f t="shared" si="249"/>
        <v>0</v>
      </c>
      <c r="Y684" s="222">
        <f t="shared" si="246"/>
        <v>30000</v>
      </c>
      <c r="Z684" s="223">
        <f t="shared" si="241"/>
        <v>180000</v>
      </c>
    </row>
    <row r="685" spans="1:26" s="44" customFormat="1" ht="24" customHeight="1">
      <c r="A685" s="71">
        <v>7</v>
      </c>
      <c r="B685" s="72" t="s">
        <v>477</v>
      </c>
      <c r="C685" s="237"/>
      <c r="D685" s="237"/>
      <c r="E685" s="228">
        <f t="shared" si="248"/>
        <v>0.3</v>
      </c>
      <c r="F685" s="414"/>
      <c r="G685" s="376">
        <f t="shared" si="245"/>
        <v>0.3</v>
      </c>
      <c r="H685" s="377"/>
      <c r="I685" s="382"/>
      <c r="J685" s="377"/>
      <c r="K685" s="377"/>
      <c r="L685" s="383"/>
      <c r="M685" s="377"/>
      <c r="N685" s="377">
        <v>0.3</v>
      </c>
      <c r="O685" s="382"/>
      <c r="P685" s="377"/>
      <c r="Q685" s="377"/>
      <c r="R685" s="377"/>
      <c r="S685" s="377"/>
      <c r="T685" s="377">
        <f t="shared" si="236"/>
        <v>0</v>
      </c>
      <c r="U685" s="377"/>
      <c r="V685" s="376"/>
      <c r="W685" s="377"/>
      <c r="X685" s="377">
        <f t="shared" si="249"/>
        <v>0</v>
      </c>
      <c r="Y685" s="222">
        <f t="shared" si="246"/>
        <v>30000</v>
      </c>
      <c r="Z685" s="223">
        <f t="shared" si="241"/>
        <v>180000</v>
      </c>
    </row>
    <row r="686" spans="1:26" s="44" customFormat="1" ht="24" customHeight="1">
      <c r="A686" s="71">
        <v>8</v>
      </c>
      <c r="B686" s="72" t="s">
        <v>489</v>
      </c>
      <c r="C686" s="237"/>
      <c r="D686" s="237"/>
      <c r="E686" s="228">
        <f t="shared" si="248"/>
        <v>0.3</v>
      </c>
      <c r="F686" s="414"/>
      <c r="G686" s="376">
        <f t="shared" si="245"/>
        <v>0.3</v>
      </c>
      <c r="H686" s="377"/>
      <c r="I686" s="382"/>
      <c r="J686" s="377"/>
      <c r="K686" s="377"/>
      <c r="L686" s="383"/>
      <c r="M686" s="377"/>
      <c r="N686" s="377">
        <v>0.3</v>
      </c>
      <c r="O686" s="382"/>
      <c r="P686" s="377"/>
      <c r="Q686" s="377"/>
      <c r="R686" s="377"/>
      <c r="S686" s="377"/>
      <c r="T686" s="377">
        <f t="shared" si="236"/>
        <v>0</v>
      </c>
      <c r="U686" s="377"/>
      <c r="V686" s="376"/>
      <c r="W686" s="377"/>
      <c r="X686" s="377">
        <f t="shared" si="249"/>
        <v>0</v>
      </c>
      <c r="Y686" s="222">
        <f t="shared" si="246"/>
        <v>30000</v>
      </c>
      <c r="Z686" s="223">
        <f t="shared" si="241"/>
        <v>180000</v>
      </c>
    </row>
    <row r="687" spans="1:26" s="44" customFormat="1" ht="24" customHeight="1">
      <c r="A687" s="71">
        <v>9</v>
      </c>
      <c r="B687" s="72" t="s">
        <v>490</v>
      </c>
      <c r="C687" s="237"/>
      <c r="D687" s="237"/>
      <c r="E687" s="228">
        <f t="shared" si="248"/>
        <v>2.32125</v>
      </c>
      <c r="F687" s="414"/>
      <c r="G687" s="376">
        <f t="shared" si="245"/>
        <v>1.9500000000000002</v>
      </c>
      <c r="H687" s="377"/>
      <c r="I687" s="382"/>
      <c r="J687" s="377"/>
      <c r="K687" s="377">
        <f>16.5*10%</f>
        <v>1.6500000000000001</v>
      </c>
      <c r="L687" s="383"/>
      <c r="M687" s="377"/>
      <c r="N687" s="377">
        <v>0.3</v>
      </c>
      <c r="O687" s="382"/>
      <c r="P687" s="377"/>
      <c r="Q687" s="377"/>
      <c r="R687" s="377"/>
      <c r="S687" s="377"/>
      <c r="T687" s="377">
        <f t="shared" si="236"/>
        <v>0</v>
      </c>
      <c r="U687" s="377"/>
      <c r="V687" s="376"/>
      <c r="W687" s="377"/>
      <c r="X687" s="377">
        <f t="shared" si="249"/>
        <v>0.37125000000000002</v>
      </c>
      <c r="Y687" s="222">
        <f t="shared" si="246"/>
        <v>232125</v>
      </c>
      <c r="Z687" s="223">
        <f t="shared" si="241"/>
        <v>1392750</v>
      </c>
    </row>
    <row r="688" spans="1:26" s="44" customFormat="1" ht="24" customHeight="1">
      <c r="A688" s="81" t="s">
        <v>59</v>
      </c>
      <c r="B688" s="240" t="s">
        <v>331</v>
      </c>
      <c r="C688" s="237"/>
      <c r="D688" s="237"/>
      <c r="E688" s="231">
        <f>SUM(E689:E712)</f>
        <v>7.1999999999999975</v>
      </c>
      <c r="F688" s="381">
        <f t="shared" ref="F688:Z688" si="250">SUM(F689:F712)</f>
        <v>0</v>
      </c>
      <c r="G688" s="381">
        <f t="shared" si="250"/>
        <v>7.1999999999999975</v>
      </c>
      <c r="H688" s="381">
        <f t="shared" si="250"/>
        <v>0</v>
      </c>
      <c r="I688" s="381">
        <f t="shared" si="250"/>
        <v>0</v>
      </c>
      <c r="J688" s="381">
        <f t="shared" si="250"/>
        <v>0</v>
      </c>
      <c r="K688" s="381">
        <f t="shared" si="250"/>
        <v>0</v>
      </c>
      <c r="L688" s="407">
        <f t="shared" si="250"/>
        <v>0</v>
      </c>
      <c r="M688" s="381">
        <f t="shared" si="250"/>
        <v>0</v>
      </c>
      <c r="N688" s="381">
        <f t="shared" si="250"/>
        <v>0</v>
      </c>
      <c r="O688" s="381">
        <f t="shared" si="250"/>
        <v>7.1999999999999975</v>
      </c>
      <c r="P688" s="381">
        <f t="shared" si="250"/>
        <v>0</v>
      </c>
      <c r="Q688" s="381">
        <f t="shared" si="250"/>
        <v>0</v>
      </c>
      <c r="R688" s="381">
        <f t="shared" si="250"/>
        <v>0</v>
      </c>
      <c r="S688" s="381">
        <f t="shared" si="250"/>
        <v>0</v>
      </c>
      <c r="T688" s="381">
        <f t="shared" si="250"/>
        <v>0</v>
      </c>
      <c r="U688" s="381">
        <f t="shared" si="250"/>
        <v>0</v>
      </c>
      <c r="V688" s="381">
        <f t="shared" si="250"/>
        <v>0</v>
      </c>
      <c r="W688" s="381">
        <f t="shared" si="250"/>
        <v>0</v>
      </c>
      <c r="X688" s="381">
        <f t="shared" si="250"/>
        <v>0</v>
      </c>
      <c r="Y688" s="236">
        <f t="shared" si="250"/>
        <v>720000</v>
      </c>
      <c r="Z688" s="236">
        <f t="shared" si="250"/>
        <v>4320000</v>
      </c>
    </row>
    <row r="689" spans="1:26" s="44" customFormat="1" ht="24" customHeight="1">
      <c r="A689" s="71" t="s">
        <v>20</v>
      </c>
      <c r="B689" s="113" t="s">
        <v>491</v>
      </c>
      <c r="C689" s="237"/>
      <c r="D689" s="237"/>
      <c r="E689" s="228">
        <f t="shared" ref="E689:E712" si="251">+F689+G689+X689</f>
        <v>0.3</v>
      </c>
      <c r="F689" s="414"/>
      <c r="G689" s="376">
        <f t="shared" si="245"/>
        <v>0.3</v>
      </c>
      <c r="H689" s="377"/>
      <c r="I689" s="382"/>
      <c r="J689" s="377"/>
      <c r="K689" s="377"/>
      <c r="L689" s="383"/>
      <c r="M689" s="377"/>
      <c r="N689" s="377"/>
      <c r="O689" s="377">
        <v>0.3</v>
      </c>
      <c r="P689" s="377"/>
      <c r="Q689" s="377"/>
      <c r="R689" s="377"/>
      <c r="S689" s="377"/>
      <c r="T689" s="377">
        <f t="shared" si="236"/>
        <v>0</v>
      </c>
      <c r="U689" s="377"/>
      <c r="V689" s="376"/>
      <c r="W689" s="377"/>
      <c r="X689" s="377">
        <f t="shared" ref="X689:X712" si="252">(F689+I689+J689+K689)*22.5/100</f>
        <v>0</v>
      </c>
      <c r="Y689" s="222">
        <f t="shared" si="246"/>
        <v>30000</v>
      </c>
      <c r="Z689" s="223">
        <f t="shared" si="241"/>
        <v>180000</v>
      </c>
    </row>
    <row r="690" spans="1:26" s="44" customFormat="1" ht="24" customHeight="1">
      <c r="A690" s="71" t="s">
        <v>140</v>
      </c>
      <c r="B690" s="113" t="s">
        <v>485</v>
      </c>
      <c r="C690" s="237"/>
      <c r="D690" s="237"/>
      <c r="E690" s="228">
        <f t="shared" si="251"/>
        <v>0.3</v>
      </c>
      <c r="F690" s="414"/>
      <c r="G690" s="376">
        <f t="shared" si="245"/>
        <v>0.3</v>
      </c>
      <c r="H690" s="377"/>
      <c r="I690" s="382"/>
      <c r="J690" s="377"/>
      <c r="K690" s="377"/>
      <c r="L690" s="383"/>
      <c r="M690" s="377"/>
      <c r="N690" s="377"/>
      <c r="O690" s="377">
        <v>0.3</v>
      </c>
      <c r="P690" s="377"/>
      <c r="Q690" s="377"/>
      <c r="R690" s="377"/>
      <c r="S690" s="377"/>
      <c r="T690" s="377">
        <f t="shared" si="236"/>
        <v>0</v>
      </c>
      <c r="U690" s="377"/>
      <c r="V690" s="376"/>
      <c r="W690" s="377"/>
      <c r="X690" s="377">
        <f t="shared" si="252"/>
        <v>0</v>
      </c>
      <c r="Y690" s="222">
        <f t="shared" si="246"/>
        <v>30000</v>
      </c>
      <c r="Z690" s="223">
        <f t="shared" si="241"/>
        <v>180000</v>
      </c>
    </row>
    <row r="691" spans="1:26" s="44" customFormat="1" ht="24" customHeight="1">
      <c r="A691" s="71" t="s">
        <v>21</v>
      </c>
      <c r="B691" s="113" t="s">
        <v>476</v>
      </c>
      <c r="C691" s="237"/>
      <c r="D691" s="237"/>
      <c r="E691" s="228">
        <f t="shared" si="251"/>
        <v>0.3</v>
      </c>
      <c r="F691" s="414"/>
      <c r="G691" s="376">
        <f t="shared" si="245"/>
        <v>0.3</v>
      </c>
      <c r="H691" s="377"/>
      <c r="I691" s="382"/>
      <c r="J691" s="377"/>
      <c r="K691" s="377"/>
      <c r="L691" s="383"/>
      <c r="M691" s="377"/>
      <c r="N691" s="377"/>
      <c r="O691" s="377">
        <v>0.3</v>
      </c>
      <c r="P691" s="377"/>
      <c r="Q691" s="377"/>
      <c r="R691" s="377"/>
      <c r="S691" s="377"/>
      <c r="T691" s="377">
        <f t="shared" si="236"/>
        <v>0</v>
      </c>
      <c r="U691" s="377"/>
      <c r="V691" s="376"/>
      <c r="W691" s="377"/>
      <c r="X691" s="377">
        <f t="shared" si="252"/>
        <v>0</v>
      </c>
      <c r="Y691" s="222">
        <f t="shared" si="246"/>
        <v>30000</v>
      </c>
      <c r="Z691" s="223">
        <f t="shared" si="241"/>
        <v>180000</v>
      </c>
    </row>
    <row r="692" spans="1:26" s="44" customFormat="1" ht="24" customHeight="1">
      <c r="A692" s="71" t="s">
        <v>22</v>
      </c>
      <c r="B692" s="113" t="s">
        <v>492</v>
      </c>
      <c r="C692" s="237"/>
      <c r="D692" s="237"/>
      <c r="E692" s="228">
        <f t="shared" si="251"/>
        <v>0.3</v>
      </c>
      <c r="F692" s="414"/>
      <c r="G692" s="376">
        <f t="shared" si="245"/>
        <v>0.3</v>
      </c>
      <c r="H692" s="377"/>
      <c r="I692" s="382"/>
      <c r="J692" s="377"/>
      <c r="K692" s="377"/>
      <c r="L692" s="383"/>
      <c r="M692" s="377"/>
      <c r="N692" s="377"/>
      <c r="O692" s="377">
        <v>0.3</v>
      </c>
      <c r="P692" s="377"/>
      <c r="Q692" s="377"/>
      <c r="R692" s="377"/>
      <c r="S692" s="377"/>
      <c r="T692" s="377">
        <f t="shared" si="236"/>
        <v>0</v>
      </c>
      <c r="U692" s="377"/>
      <c r="V692" s="376"/>
      <c r="W692" s="377"/>
      <c r="X692" s="377">
        <f t="shared" si="252"/>
        <v>0</v>
      </c>
      <c r="Y692" s="222">
        <f t="shared" si="246"/>
        <v>30000</v>
      </c>
      <c r="Z692" s="223">
        <f t="shared" si="241"/>
        <v>180000</v>
      </c>
    </row>
    <row r="693" spans="1:26" s="44" customFormat="1" ht="24" customHeight="1">
      <c r="A693" s="71" t="s">
        <v>12</v>
      </c>
      <c r="B693" s="113" t="s">
        <v>493</v>
      </c>
      <c r="C693" s="237"/>
      <c r="D693" s="237"/>
      <c r="E693" s="228">
        <f t="shared" si="251"/>
        <v>0.3</v>
      </c>
      <c r="F693" s="414"/>
      <c r="G693" s="376">
        <f t="shared" si="245"/>
        <v>0.3</v>
      </c>
      <c r="H693" s="377"/>
      <c r="I693" s="382"/>
      <c r="J693" s="377"/>
      <c r="K693" s="377"/>
      <c r="L693" s="383"/>
      <c r="M693" s="377"/>
      <c r="N693" s="377"/>
      <c r="O693" s="377">
        <v>0.3</v>
      </c>
      <c r="P693" s="377"/>
      <c r="Q693" s="377"/>
      <c r="R693" s="377"/>
      <c r="S693" s="377"/>
      <c r="T693" s="377">
        <f t="shared" si="236"/>
        <v>0</v>
      </c>
      <c r="U693" s="377"/>
      <c r="V693" s="376"/>
      <c r="W693" s="377"/>
      <c r="X693" s="377">
        <f t="shared" si="252"/>
        <v>0</v>
      </c>
      <c r="Y693" s="222">
        <f t="shared" si="246"/>
        <v>30000</v>
      </c>
      <c r="Z693" s="223">
        <f t="shared" si="241"/>
        <v>180000</v>
      </c>
    </row>
    <row r="694" spans="1:26" s="44" customFormat="1" ht="24" customHeight="1">
      <c r="A694" s="71" t="s">
        <v>36</v>
      </c>
      <c r="B694" s="113" t="s">
        <v>494</v>
      </c>
      <c r="C694" s="237"/>
      <c r="D694" s="237"/>
      <c r="E694" s="228">
        <f t="shared" si="251"/>
        <v>0.3</v>
      </c>
      <c r="F694" s="414"/>
      <c r="G694" s="376">
        <f t="shared" si="245"/>
        <v>0.3</v>
      </c>
      <c r="H694" s="377"/>
      <c r="I694" s="382"/>
      <c r="J694" s="377"/>
      <c r="K694" s="377"/>
      <c r="L694" s="383"/>
      <c r="M694" s="377"/>
      <c r="N694" s="377"/>
      <c r="O694" s="377">
        <v>0.3</v>
      </c>
      <c r="P694" s="377"/>
      <c r="Q694" s="377"/>
      <c r="R694" s="377"/>
      <c r="S694" s="377"/>
      <c r="T694" s="377">
        <f t="shared" si="236"/>
        <v>0</v>
      </c>
      <c r="U694" s="377"/>
      <c r="V694" s="376"/>
      <c r="W694" s="377"/>
      <c r="X694" s="377">
        <f t="shared" si="252"/>
        <v>0</v>
      </c>
      <c r="Y694" s="222">
        <f t="shared" si="246"/>
        <v>30000</v>
      </c>
      <c r="Z694" s="223">
        <f t="shared" si="241"/>
        <v>180000</v>
      </c>
    </row>
    <row r="695" spans="1:26" s="44" customFormat="1" ht="24" customHeight="1">
      <c r="A695" s="71" t="s">
        <v>37</v>
      </c>
      <c r="B695" s="113" t="s">
        <v>495</v>
      </c>
      <c r="C695" s="237"/>
      <c r="D695" s="237"/>
      <c r="E695" s="228">
        <f t="shared" si="251"/>
        <v>0.3</v>
      </c>
      <c r="F695" s="414"/>
      <c r="G695" s="376">
        <f t="shared" si="245"/>
        <v>0.3</v>
      </c>
      <c r="H695" s="377"/>
      <c r="I695" s="382"/>
      <c r="J695" s="377"/>
      <c r="K695" s="377"/>
      <c r="L695" s="383"/>
      <c r="M695" s="377"/>
      <c r="N695" s="377"/>
      <c r="O695" s="377">
        <v>0.3</v>
      </c>
      <c r="P695" s="377"/>
      <c r="Q695" s="377"/>
      <c r="R695" s="377"/>
      <c r="S695" s="377"/>
      <c r="T695" s="377">
        <f t="shared" si="236"/>
        <v>0</v>
      </c>
      <c r="U695" s="377"/>
      <c r="V695" s="376"/>
      <c r="W695" s="377"/>
      <c r="X695" s="377">
        <f t="shared" si="252"/>
        <v>0</v>
      </c>
      <c r="Y695" s="222">
        <f t="shared" si="246"/>
        <v>30000</v>
      </c>
      <c r="Z695" s="223">
        <f t="shared" si="241"/>
        <v>180000</v>
      </c>
    </row>
    <row r="696" spans="1:26" s="44" customFormat="1" ht="24" customHeight="1">
      <c r="A696" s="71" t="s">
        <v>146</v>
      </c>
      <c r="B696" s="113" t="s">
        <v>496</v>
      </c>
      <c r="C696" s="237"/>
      <c r="D696" s="237"/>
      <c r="E696" s="228">
        <f t="shared" si="251"/>
        <v>0.3</v>
      </c>
      <c r="F696" s="414"/>
      <c r="G696" s="376">
        <f t="shared" si="245"/>
        <v>0.3</v>
      </c>
      <c r="H696" s="377"/>
      <c r="I696" s="382"/>
      <c r="J696" s="377"/>
      <c r="K696" s="377"/>
      <c r="L696" s="383"/>
      <c r="M696" s="377"/>
      <c r="N696" s="377"/>
      <c r="O696" s="377">
        <v>0.3</v>
      </c>
      <c r="P696" s="377"/>
      <c r="Q696" s="377"/>
      <c r="R696" s="377"/>
      <c r="S696" s="377"/>
      <c r="T696" s="377">
        <f t="shared" si="236"/>
        <v>0</v>
      </c>
      <c r="U696" s="377"/>
      <c r="V696" s="376"/>
      <c r="W696" s="377"/>
      <c r="X696" s="377">
        <f t="shared" si="252"/>
        <v>0</v>
      </c>
      <c r="Y696" s="222">
        <f t="shared" si="246"/>
        <v>30000</v>
      </c>
      <c r="Z696" s="223">
        <f t="shared" si="241"/>
        <v>180000</v>
      </c>
    </row>
    <row r="697" spans="1:26" s="44" customFormat="1" ht="24" customHeight="1">
      <c r="A697" s="71" t="s">
        <v>148</v>
      </c>
      <c r="B697" s="113" t="s">
        <v>473</v>
      </c>
      <c r="C697" s="237"/>
      <c r="D697" s="237"/>
      <c r="E697" s="228">
        <f t="shared" si="251"/>
        <v>0.3</v>
      </c>
      <c r="F697" s="414"/>
      <c r="G697" s="376">
        <f t="shared" si="245"/>
        <v>0.3</v>
      </c>
      <c r="H697" s="377"/>
      <c r="I697" s="382"/>
      <c r="J697" s="377"/>
      <c r="K697" s="377"/>
      <c r="L697" s="383"/>
      <c r="M697" s="377"/>
      <c r="N697" s="377"/>
      <c r="O697" s="377">
        <v>0.3</v>
      </c>
      <c r="P697" s="377"/>
      <c r="Q697" s="377"/>
      <c r="R697" s="377"/>
      <c r="S697" s="377"/>
      <c r="T697" s="377">
        <f t="shared" si="236"/>
        <v>0</v>
      </c>
      <c r="U697" s="377"/>
      <c r="V697" s="376"/>
      <c r="W697" s="377"/>
      <c r="X697" s="377">
        <f t="shared" si="252"/>
        <v>0</v>
      </c>
      <c r="Y697" s="222">
        <f t="shared" si="246"/>
        <v>30000</v>
      </c>
      <c r="Z697" s="223">
        <f t="shared" si="241"/>
        <v>180000</v>
      </c>
    </row>
    <row r="698" spans="1:26" s="44" customFormat="1" ht="24" customHeight="1">
      <c r="A698" s="71" t="s">
        <v>150</v>
      </c>
      <c r="B698" s="113" t="s">
        <v>497</v>
      </c>
      <c r="C698" s="237"/>
      <c r="D698" s="237"/>
      <c r="E698" s="228">
        <f t="shared" si="251"/>
        <v>0.3</v>
      </c>
      <c r="F698" s="414"/>
      <c r="G698" s="376">
        <f t="shared" si="245"/>
        <v>0.3</v>
      </c>
      <c r="H698" s="377"/>
      <c r="I698" s="382"/>
      <c r="J698" s="377"/>
      <c r="K698" s="377"/>
      <c r="L698" s="383"/>
      <c r="M698" s="377"/>
      <c r="N698" s="377"/>
      <c r="O698" s="377">
        <v>0.3</v>
      </c>
      <c r="P698" s="377"/>
      <c r="Q698" s="377"/>
      <c r="R698" s="377"/>
      <c r="S698" s="377"/>
      <c r="T698" s="377">
        <f t="shared" si="236"/>
        <v>0</v>
      </c>
      <c r="U698" s="377"/>
      <c r="V698" s="376"/>
      <c r="W698" s="377"/>
      <c r="X698" s="377">
        <f t="shared" si="252"/>
        <v>0</v>
      </c>
      <c r="Y698" s="222">
        <f t="shared" si="246"/>
        <v>30000</v>
      </c>
      <c r="Z698" s="223">
        <f t="shared" si="241"/>
        <v>180000</v>
      </c>
    </row>
    <row r="699" spans="1:26" s="44" customFormat="1" ht="24" customHeight="1">
      <c r="A699" s="71" t="s">
        <v>162</v>
      </c>
      <c r="B699" s="113" t="s">
        <v>475</v>
      </c>
      <c r="C699" s="237"/>
      <c r="D699" s="237"/>
      <c r="E699" s="228">
        <f t="shared" si="251"/>
        <v>0.3</v>
      </c>
      <c r="F699" s="414"/>
      <c r="G699" s="376">
        <f t="shared" si="245"/>
        <v>0.3</v>
      </c>
      <c r="H699" s="377"/>
      <c r="I699" s="382"/>
      <c r="J699" s="377"/>
      <c r="K699" s="377"/>
      <c r="L699" s="383"/>
      <c r="M699" s="377"/>
      <c r="N699" s="377"/>
      <c r="O699" s="377">
        <v>0.3</v>
      </c>
      <c r="P699" s="377"/>
      <c r="Q699" s="377"/>
      <c r="R699" s="377"/>
      <c r="S699" s="377"/>
      <c r="T699" s="377">
        <f t="shared" si="236"/>
        <v>0</v>
      </c>
      <c r="U699" s="377"/>
      <c r="V699" s="376"/>
      <c r="W699" s="377"/>
      <c r="X699" s="377">
        <f t="shared" si="252"/>
        <v>0</v>
      </c>
      <c r="Y699" s="222">
        <f t="shared" si="246"/>
        <v>30000</v>
      </c>
      <c r="Z699" s="223">
        <f t="shared" si="241"/>
        <v>180000</v>
      </c>
    </row>
    <row r="700" spans="1:26" s="44" customFormat="1" ht="34.5" customHeight="1">
      <c r="A700" s="71" t="s">
        <v>164</v>
      </c>
      <c r="B700" s="97" t="s">
        <v>498</v>
      </c>
      <c r="C700" s="237"/>
      <c r="D700" s="237"/>
      <c r="E700" s="228">
        <f t="shared" si="251"/>
        <v>0.3</v>
      </c>
      <c r="F700" s="414"/>
      <c r="G700" s="376">
        <f t="shared" si="245"/>
        <v>0.3</v>
      </c>
      <c r="H700" s="377"/>
      <c r="I700" s="382"/>
      <c r="J700" s="377"/>
      <c r="K700" s="377"/>
      <c r="L700" s="383"/>
      <c r="M700" s="377"/>
      <c r="N700" s="377"/>
      <c r="O700" s="377">
        <v>0.3</v>
      </c>
      <c r="P700" s="377"/>
      <c r="Q700" s="377"/>
      <c r="R700" s="377"/>
      <c r="S700" s="377"/>
      <c r="T700" s="377">
        <f t="shared" si="236"/>
        <v>0</v>
      </c>
      <c r="U700" s="377"/>
      <c r="V700" s="376"/>
      <c r="W700" s="377"/>
      <c r="X700" s="377">
        <f t="shared" si="252"/>
        <v>0</v>
      </c>
      <c r="Y700" s="222">
        <f t="shared" si="246"/>
        <v>30000</v>
      </c>
      <c r="Z700" s="223">
        <f t="shared" si="241"/>
        <v>180000</v>
      </c>
    </row>
    <row r="701" spans="1:26" s="44" customFormat="1" ht="24" customHeight="1">
      <c r="A701" s="71" t="s">
        <v>439</v>
      </c>
      <c r="B701" s="113" t="s">
        <v>499</v>
      </c>
      <c r="C701" s="237"/>
      <c r="D701" s="237"/>
      <c r="E701" s="228">
        <f t="shared" si="251"/>
        <v>0.3</v>
      </c>
      <c r="F701" s="414"/>
      <c r="G701" s="376">
        <f t="shared" si="245"/>
        <v>0.3</v>
      </c>
      <c r="H701" s="377"/>
      <c r="I701" s="382"/>
      <c r="J701" s="377"/>
      <c r="K701" s="377"/>
      <c r="L701" s="383"/>
      <c r="M701" s="377"/>
      <c r="N701" s="377"/>
      <c r="O701" s="377">
        <v>0.3</v>
      </c>
      <c r="P701" s="377"/>
      <c r="Q701" s="377"/>
      <c r="R701" s="377"/>
      <c r="S701" s="377"/>
      <c r="T701" s="377">
        <f t="shared" si="236"/>
        <v>0</v>
      </c>
      <c r="U701" s="377"/>
      <c r="V701" s="376"/>
      <c r="W701" s="377"/>
      <c r="X701" s="377">
        <f t="shared" si="252"/>
        <v>0</v>
      </c>
      <c r="Y701" s="222">
        <f t="shared" si="246"/>
        <v>30000</v>
      </c>
      <c r="Z701" s="223">
        <f t="shared" si="241"/>
        <v>180000</v>
      </c>
    </row>
    <row r="702" spans="1:26" s="44" customFormat="1" ht="24" customHeight="1">
      <c r="A702" s="71" t="s">
        <v>441</v>
      </c>
      <c r="B702" s="113" t="s">
        <v>500</v>
      </c>
      <c r="C702" s="237"/>
      <c r="D702" s="237"/>
      <c r="E702" s="228">
        <f t="shared" si="251"/>
        <v>0.3</v>
      </c>
      <c r="F702" s="414"/>
      <c r="G702" s="376">
        <f t="shared" si="245"/>
        <v>0.3</v>
      </c>
      <c r="H702" s="377"/>
      <c r="I702" s="382"/>
      <c r="J702" s="377"/>
      <c r="K702" s="377"/>
      <c r="L702" s="383"/>
      <c r="M702" s="377"/>
      <c r="N702" s="377"/>
      <c r="O702" s="377">
        <v>0.3</v>
      </c>
      <c r="P702" s="377"/>
      <c r="Q702" s="377"/>
      <c r="R702" s="377"/>
      <c r="S702" s="377"/>
      <c r="T702" s="377">
        <f t="shared" si="236"/>
        <v>0</v>
      </c>
      <c r="U702" s="377"/>
      <c r="V702" s="376"/>
      <c r="W702" s="377"/>
      <c r="X702" s="377">
        <f t="shared" si="252"/>
        <v>0</v>
      </c>
      <c r="Y702" s="222">
        <f t="shared" si="246"/>
        <v>30000</v>
      </c>
      <c r="Z702" s="223">
        <f t="shared" si="241"/>
        <v>180000</v>
      </c>
    </row>
    <row r="703" spans="1:26" s="44" customFormat="1" ht="24" customHeight="1">
      <c r="A703" s="71" t="s">
        <v>443</v>
      </c>
      <c r="B703" s="113" t="s">
        <v>501</v>
      </c>
      <c r="C703" s="237"/>
      <c r="D703" s="237"/>
      <c r="E703" s="228">
        <f t="shared" si="251"/>
        <v>0.3</v>
      </c>
      <c r="F703" s="414"/>
      <c r="G703" s="376">
        <f t="shared" si="245"/>
        <v>0.3</v>
      </c>
      <c r="H703" s="377"/>
      <c r="I703" s="382"/>
      <c r="J703" s="377"/>
      <c r="K703" s="377"/>
      <c r="L703" s="383"/>
      <c r="M703" s="377"/>
      <c r="N703" s="377"/>
      <c r="O703" s="377">
        <v>0.3</v>
      </c>
      <c r="P703" s="377"/>
      <c r="Q703" s="377"/>
      <c r="R703" s="377"/>
      <c r="S703" s="377"/>
      <c r="T703" s="377">
        <f t="shared" si="236"/>
        <v>0</v>
      </c>
      <c r="U703" s="377"/>
      <c r="V703" s="376"/>
      <c r="W703" s="377"/>
      <c r="X703" s="377">
        <f t="shared" si="252"/>
        <v>0</v>
      </c>
      <c r="Y703" s="222">
        <f t="shared" si="246"/>
        <v>30000</v>
      </c>
      <c r="Z703" s="223">
        <f t="shared" si="241"/>
        <v>180000</v>
      </c>
    </row>
    <row r="704" spans="1:26" s="44" customFormat="1" ht="24" customHeight="1">
      <c r="A704" s="71" t="s">
        <v>445</v>
      </c>
      <c r="B704" s="113" t="s">
        <v>502</v>
      </c>
      <c r="C704" s="237"/>
      <c r="D704" s="237"/>
      <c r="E704" s="228">
        <f t="shared" si="251"/>
        <v>0.3</v>
      </c>
      <c r="F704" s="414"/>
      <c r="G704" s="376">
        <f t="shared" si="245"/>
        <v>0.3</v>
      </c>
      <c r="H704" s="377"/>
      <c r="I704" s="382"/>
      <c r="J704" s="377"/>
      <c r="K704" s="377"/>
      <c r="L704" s="383"/>
      <c r="M704" s="377"/>
      <c r="N704" s="377"/>
      <c r="O704" s="377">
        <v>0.3</v>
      </c>
      <c r="P704" s="377"/>
      <c r="Q704" s="377"/>
      <c r="R704" s="377"/>
      <c r="S704" s="377"/>
      <c r="T704" s="377">
        <f t="shared" si="236"/>
        <v>0</v>
      </c>
      <c r="U704" s="377"/>
      <c r="V704" s="376"/>
      <c r="W704" s="377"/>
      <c r="X704" s="377">
        <f t="shared" si="252"/>
        <v>0</v>
      </c>
      <c r="Y704" s="222">
        <f t="shared" si="246"/>
        <v>30000</v>
      </c>
      <c r="Z704" s="223">
        <f t="shared" si="241"/>
        <v>180000</v>
      </c>
    </row>
    <row r="705" spans="1:26" s="44" customFormat="1" ht="24" customHeight="1">
      <c r="A705" s="71" t="s">
        <v>447</v>
      </c>
      <c r="B705" s="113" t="s">
        <v>503</v>
      </c>
      <c r="C705" s="237"/>
      <c r="D705" s="237"/>
      <c r="E705" s="228">
        <f t="shared" si="251"/>
        <v>0.3</v>
      </c>
      <c r="F705" s="414"/>
      <c r="G705" s="376">
        <f t="shared" si="245"/>
        <v>0.3</v>
      </c>
      <c r="H705" s="377"/>
      <c r="I705" s="382"/>
      <c r="J705" s="377"/>
      <c r="K705" s="377"/>
      <c r="L705" s="383"/>
      <c r="M705" s="377"/>
      <c r="N705" s="377"/>
      <c r="O705" s="377">
        <v>0.3</v>
      </c>
      <c r="P705" s="377"/>
      <c r="Q705" s="377"/>
      <c r="R705" s="377"/>
      <c r="S705" s="377"/>
      <c r="T705" s="377">
        <f t="shared" si="236"/>
        <v>0</v>
      </c>
      <c r="U705" s="377"/>
      <c r="V705" s="376"/>
      <c r="W705" s="377"/>
      <c r="X705" s="377">
        <f t="shared" si="252"/>
        <v>0</v>
      </c>
      <c r="Y705" s="222">
        <f t="shared" si="246"/>
        <v>30000</v>
      </c>
      <c r="Z705" s="223">
        <f t="shared" si="241"/>
        <v>180000</v>
      </c>
    </row>
    <row r="706" spans="1:26" s="44" customFormat="1" ht="24" customHeight="1">
      <c r="A706" s="71" t="s">
        <v>449</v>
      </c>
      <c r="B706" s="113" t="s">
        <v>504</v>
      </c>
      <c r="C706" s="237"/>
      <c r="D706" s="237"/>
      <c r="E706" s="228">
        <f t="shared" si="251"/>
        <v>0.3</v>
      </c>
      <c r="F706" s="414"/>
      <c r="G706" s="376">
        <f t="shared" si="245"/>
        <v>0.3</v>
      </c>
      <c r="H706" s="377"/>
      <c r="I706" s="382"/>
      <c r="J706" s="377"/>
      <c r="K706" s="377"/>
      <c r="L706" s="383"/>
      <c r="M706" s="377"/>
      <c r="N706" s="377"/>
      <c r="O706" s="377">
        <v>0.3</v>
      </c>
      <c r="P706" s="377"/>
      <c r="Q706" s="377"/>
      <c r="R706" s="377"/>
      <c r="S706" s="377"/>
      <c r="T706" s="377">
        <f t="shared" si="236"/>
        <v>0</v>
      </c>
      <c r="U706" s="377"/>
      <c r="V706" s="376"/>
      <c r="W706" s="377"/>
      <c r="X706" s="377">
        <f t="shared" si="252"/>
        <v>0</v>
      </c>
      <c r="Y706" s="222">
        <f t="shared" si="246"/>
        <v>30000</v>
      </c>
      <c r="Z706" s="223">
        <f t="shared" si="241"/>
        <v>180000</v>
      </c>
    </row>
    <row r="707" spans="1:26" s="44" customFormat="1" ht="24" customHeight="1">
      <c r="A707" s="71" t="s">
        <v>451</v>
      </c>
      <c r="B707" s="113" t="s">
        <v>505</v>
      </c>
      <c r="C707" s="237"/>
      <c r="D707" s="237"/>
      <c r="E707" s="228">
        <f t="shared" si="251"/>
        <v>0.3</v>
      </c>
      <c r="F707" s="414"/>
      <c r="G707" s="376">
        <f t="shared" si="245"/>
        <v>0.3</v>
      </c>
      <c r="H707" s="377"/>
      <c r="I707" s="382"/>
      <c r="J707" s="377"/>
      <c r="K707" s="377"/>
      <c r="L707" s="383"/>
      <c r="M707" s="377"/>
      <c r="N707" s="377"/>
      <c r="O707" s="377">
        <v>0.3</v>
      </c>
      <c r="P707" s="377"/>
      <c r="Q707" s="377"/>
      <c r="R707" s="377"/>
      <c r="S707" s="377"/>
      <c r="T707" s="377">
        <f t="shared" si="236"/>
        <v>0</v>
      </c>
      <c r="U707" s="377"/>
      <c r="V707" s="376"/>
      <c r="W707" s="377"/>
      <c r="X707" s="377">
        <f t="shared" si="252"/>
        <v>0</v>
      </c>
      <c r="Y707" s="222">
        <f t="shared" si="246"/>
        <v>30000</v>
      </c>
      <c r="Z707" s="223">
        <f t="shared" si="241"/>
        <v>180000</v>
      </c>
    </row>
    <row r="708" spans="1:26" s="44" customFormat="1" ht="24" customHeight="1">
      <c r="A708" s="71" t="s">
        <v>453</v>
      </c>
      <c r="B708" s="113" t="s">
        <v>506</v>
      </c>
      <c r="C708" s="237"/>
      <c r="D708" s="237"/>
      <c r="E708" s="228">
        <f t="shared" si="251"/>
        <v>0.3</v>
      </c>
      <c r="F708" s="414"/>
      <c r="G708" s="376">
        <f t="shared" si="245"/>
        <v>0.3</v>
      </c>
      <c r="H708" s="377"/>
      <c r="I708" s="382"/>
      <c r="J708" s="377"/>
      <c r="K708" s="377"/>
      <c r="L708" s="383"/>
      <c r="M708" s="377"/>
      <c r="N708" s="377"/>
      <c r="O708" s="377">
        <v>0.3</v>
      </c>
      <c r="P708" s="377"/>
      <c r="Q708" s="377"/>
      <c r="R708" s="377"/>
      <c r="S708" s="377"/>
      <c r="T708" s="377">
        <f t="shared" si="236"/>
        <v>0</v>
      </c>
      <c r="U708" s="377"/>
      <c r="V708" s="376"/>
      <c r="W708" s="377"/>
      <c r="X708" s="377">
        <f t="shared" si="252"/>
        <v>0</v>
      </c>
      <c r="Y708" s="222">
        <f t="shared" si="246"/>
        <v>30000</v>
      </c>
      <c r="Z708" s="223">
        <f t="shared" si="241"/>
        <v>180000</v>
      </c>
    </row>
    <row r="709" spans="1:26" s="44" customFormat="1" ht="24" customHeight="1">
      <c r="A709" s="71" t="s">
        <v>454</v>
      </c>
      <c r="B709" s="113" t="s">
        <v>478</v>
      </c>
      <c r="C709" s="237"/>
      <c r="D709" s="237"/>
      <c r="E709" s="228">
        <f t="shared" si="251"/>
        <v>0.3</v>
      </c>
      <c r="F709" s="414"/>
      <c r="G709" s="376">
        <f t="shared" si="245"/>
        <v>0.3</v>
      </c>
      <c r="H709" s="377"/>
      <c r="I709" s="382"/>
      <c r="J709" s="377"/>
      <c r="K709" s="377"/>
      <c r="L709" s="383"/>
      <c r="M709" s="377"/>
      <c r="N709" s="377"/>
      <c r="O709" s="377">
        <v>0.3</v>
      </c>
      <c r="P709" s="377"/>
      <c r="Q709" s="377"/>
      <c r="R709" s="377"/>
      <c r="S709" s="377"/>
      <c r="T709" s="377">
        <f t="shared" si="236"/>
        <v>0</v>
      </c>
      <c r="U709" s="377"/>
      <c r="V709" s="376"/>
      <c r="W709" s="377"/>
      <c r="X709" s="377">
        <f t="shared" si="252"/>
        <v>0</v>
      </c>
      <c r="Y709" s="222">
        <f t="shared" si="246"/>
        <v>30000</v>
      </c>
      <c r="Z709" s="223">
        <f t="shared" si="241"/>
        <v>180000</v>
      </c>
    </row>
    <row r="710" spans="1:26" s="44" customFormat="1" ht="24" customHeight="1">
      <c r="A710" s="71" t="s">
        <v>456</v>
      </c>
      <c r="B710" s="113" t="s">
        <v>507</v>
      </c>
      <c r="C710" s="237"/>
      <c r="D710" s="237"/>
      <c r="E710" s="228">
        <f t="shared" si="251"/>
        <v>0.3</v>
      </c>
      <c r="F710" s="414"/>
      <c r="G710" s="376">
        <f t="shared" si="245"/>
        <v>0.3</v>
      </c>
      <c r="H710" s="377"/>
      <c r="I710" s="382"/>
      <c r="J710" s="377"/>
      <c r="K710" s="377"/>
      <c r="L710" s="383"/>
      <c r="M710" s="377"/>
      <c r="N710" s="377"/>
      <c r="O710" s="377">
        <v>0.3</v>
      </c>
      <c r="P710" s="377"/>
      <c r="Q710" s="377"/>
      <c r="R710" s="377"/>
      <c r="S710" s="377"/>
      <c r="T710" s="377">
        <f t="shared" si="236"/>
        <v>0</v>
      </c>
      <c r="U710" s="377"/>
      <c r="V710" s="376"/>
      <c r="W710" s="377"/>
      <c r="X710" s="377">
        <f t="shared" si="252"/>
        <v>0</v>
      </c>
      <c r="Y710" s="222">
        <f t="shared" si="246"/>
        <v>30000</v>
      </c>
      <c r="Z710" s="223">
        <f t="shared" si="241"/>
        <v>180000</v>
      </c>
    </row>
    <row r="711" spans="1:26" s="44" customFormat="1" ht="24" customHeight="1">
      <c r="A711" s="71" t="s">
        <v>458</v>
      </c>
      <c r="B711" s="113" t="s">
        <v>472</v>
      </c>
      <c r="C711" s="237"/>
      <c r="D711" s="237"/>
      <c r="E711" s="228">
        <f t="shared" si="251"/>
        <v>0.3</v>
      </c>
      <c r="F711" s="414"/>
      <c r="G711" s="376">
        <f t="shared" si="245"/>
        <v>0.3</v>
      </c>
      <c r="H711" s="377"/>
      <c r="I711" s="382"/>
      <c r="J711" s="377"/>
      <c r="K711" s="377"/>
      <c r="L711" s="383"/>
      <c r="M711" s="377"/>
      <c r="N711" s="377"/>
      <c r="O711" s="377">
        <v>0.3</v>
      </c>
      <c r="P711" s="377"/>
      <c r="Q711" s="377"/>
      <c r="R711" s="377"/>
      <c r="S711" s="377"/>
      <c r="T711" s="377">
        <f t="shared" si="236"/>
        <v>0</v>
      </c>
      <c r="U711" s="377"/>
      <c r="V711" s="376"/>
      <c r="W711" s="377"/>
      <c r="X711" s="377">
        <f t="shared" si="252"/>
        <v>0</v>
      </c>
      <c r="Y711" s="222">
        <f t="shared" si="246"/>
        <v>30000</v>
      </c>
      <c r="Z711" s="223">
        <f t="shared" si="241"/>
        <v>180000</v>
      </c>
    </row>
    <row r="712" spans="1:26" s="44" customFormat="1" ht="24" customHeight="1">
      <c r="A712" s="71" t="s">
        <v>460</v>
      </c>
      <c r="B712" s="113" t="s">
        <v>238</v>
      </c>
      <c r="C712" s="237"/>
      <c r="D712" s="237"/>
      <c r="E712" s="228">
        <f t="shared" si="251"/>
        <v>0.3</v>
      </c>
      <c r="F712" s="414"/>
      <c r="G712" s="376">
        <f t="shared" si="245"/>
        <v>0.3</v>
      </c>
      <c r="H712" s="377"/>
      <c r="I712" s="382"/>
      <c r="J712" s="377"/>
      <c r="K712" s="377"/>
      <c r="L712" s="383"/>
      <c r="M712" s="377"/>
      <c r="N712" s="377"/>
      <c r="O712" s="377">
        <v>0.3</v>
      </c>
      <c r="P712" s="377"/>
      <c r="Q712" s="377"/>
      <c r="R712" s="377"/>
      <c r="S712" s="377"/>
      <c r="T712" s="377">
        <f t="shared" si="236"/>
        <v>0</v>
      </c>
      <c r="U712" s="377"/>
      <c r="V712" s="376"/>
      <c r="W712" s="377"/>
      <c r="X712" s="377">
        <f t="shared" si="252"/>
        <v>0</v>
      </c>
      <c r="Y712" s="222">
        <f t="shared" si="246"/>
        <v>30000</v>
      </c>
      <c r="Z712" s="223">
        <f t="shared" si="241"/>
        <v>180000</v>
      </c>
    </row>
    <row r="713" spans="1:26" s="44" customFormat="1" ht="34.15" customHeight="1">
      <c r="A713" s="81" t="s">
        <v>65</v>
      </c>
      <c r="B713" s="240" t="s">
        <v>332</v>
      </c>
      <c r="C713" s="237"/>
      <c r="D713" s="237"/>
      <c r="E713" s="231">
        <f>E714+E715</f>
        <v>25.7</v>
      </c>
      <c r="F713" s="381">
        <f t="shared" ref="F713:Z713" si="253">F714+F715</f>
        <v>25.7</v>
      </c>
      <c r="G713" s="381">
        <f t="shared" si="253"/>
        <v>0</v>
      </c>
      <c r="H713" s="381">
        <f t="shared" si="253"/>
        <v>0</v>
      </c>
      <c r="I713" s="381">
        <f t="shared" si="253"/>
        <v>0</v>
      </c>
      <c r="J713" s="381">
        <f t="shared" si="253"/>
        <v>0</v>
      </c>
      <c r="K713" s="381">
        <f t="shared" si="253"/>
        <v>0</v>
      </c>
      <c r="L713" s="407">
        <f t="shared" si="253"/>
        <v>0</v>
      </c>
      <c r="M713" s="381">
        <f t="shared" si="253"/>
        <v>0</v>
      </c>
      <c r="N713" s="381">
        <f t="shared" si="253"/>
        <v>0</v>
      </c>
      <c r="O713" s="381">
        <f t="shared" si="253"/>
        <v>0</v>
      </c>
      <c r="P713" s="381">
        <f t="shared" si="253"/>
        <v>0</v>
      </c>
      <c r="Q713" s="381">
        <f t="shared" si="253"/>
        <v>0</v>
      </c>
      <c r="R713" s="381">
        <f t="shared" si="253"/>
        <v>0</v>
      </c>
      <c r="S713" s="381">
        <f t="shared" si="253"/>
        <v>0</v>
      </c>
      <c r="T713" s="381">
        <f t="shared" si="253"/>
        <v>0</v>
      </c>
      <c r="U713" s="381">
        <f t="shared" si="253"/>
        <v>0</v>
      </c>
      <c r="V713" s="381">
        <f t="shared" si="253"/>
        <v>0</v>
      </c>
      <c r="W713" s="381">
        <f t="shared" si="253"/>
        <v>0</v>
      </c>
      <c r="X713" s="381">
        <f t="shared" si="253"/>
        <v>0</v>
      </c>
      <c r="Y713" s="232">
        <f t="shared" si="253"/>
        <v>2570000</v>
      </c>
      <c r="Z713" s="232">
        <f t="shared" si="253"/>
        <v>15420000</v>
      </c>
    </row>
    <row r="714" spans="1:26" s="44" customFormat="1" ht="24" customHeight="1">
      <c r="A714" s="123">
        <v>1</v>
      </c>
      <c r="B714" s="243" t="s">
        <v>355</v>
      </c>
      <c r="C714" s="237">
        <v>12</v>
      </c>
      <c r="D714" s="237"/>
      <c r="E714" s="228">
        <f>+F714+G714+X714</f>
        <v>13.7</v>
      </c>
      <c r="F714" s="413">
        <v>13.7</v>
      </c>
      <c r="G714" s="376">
        <f t="shared" si="245"/>
        <v>0</v>
      </c>
      <c r="H714" s="377"/>
      <c r="I714" s="382"/>
      <c r="J714" s="377"/>
      <c r="K714" s="377"/>
      <c r="L714" s="383"/>
      <c r="M714" s="377"/>
      <c r="N714" s="377"/>
      <c r="O714" s="382"/>
      <c r="P714" s="377"/>
      <c r="Q714" s="377"/>
      <c r="R714" s="377"/>
      <c r="S714" s="377"/>
      <c r="T714" s="377"/>
      <c r="U714" s="377"/>
      <c r="V714" s="376"/>
      <c r="W714" s="377"/>
      <c r="X714" s="377"/>
      <c r="Y714" s="222">
        <f t="shared" si="246"/>
        <v>1370000</v>
      </c>
      <c r="Z714" s="223">
        <f t="shared" si="241"/>
        <v>8220000</v>
      </c>
    </row>
    <row r="715" spans="1:26" s="44" customFormat="1" ht="24" customHeight="1">
      <c r="A715" s="123">
        <v>2</v>
      </c>
      <c r="B715" s="243" t="s">
        <v>488</v>
      </c>
      <c r="C715" s="237">
        <v>12</v>
      </c>
      <c r="D715" s="237"/>
      <c r="E715" s="228">
        <f>+F715+G715+X715</f>
        <v>12</v>
      </c>
      <c r="F715" s="413">
        <v>12</v>
      </c>
      <c r="G715" s="376">
        <f t="shared" si="245"/>
        <v>0</v>
      </c>
      <c r="H715" s="377"/>
      <c r="I715" s="382"/>
      <c r="J715" s="377"/>
      <c r="K715" s="377"/>
      <c r="L715" s="383"/>
      <c r="M715" s="377"/>
      <c r="N715" s="377"/>
      <c r="O715" s="382"/>
      <c r="P715" s="377"/>
      <c r="Q715" s="377"/>
      <c r="R715" s="377"/>
      <c r="S715" s="377"/>
      <c r="T715" s="377"/>
      <c r="U715" s="377"/>
      <c r="V715" s="376"/>
      <c r="W715" s="377"/>
      <c r="X715" s="377"/>
      <c r="Y715" s="222">
        <f t="shared" si="246"/>
        <v>1200000</v>
      </c>
      <c r="Z715" s="223">
        <f t="shared" si="241"/>
        <v>7200000</v>
      </c>
    </row>
    <row r="716" spans="1:26" s="44" customFormat="1" ht="24" customHeight="1">
      <c r="A716" s="80" t="s">
        <v>616</v>
      </c>
      <c r="B716" s="45" t="s">
        <v>508</v>
      </c>
      <c r="C716" s="229">
        <v>23</v>
      </c>
      <c r="D716" s="229">
        <v>19</v>
      </c>
      <c r="E716" s="231">
        <f t="shared" ref="E716:X716" si="254">E717+E729+E738+E741+E766</f>
        <v>139.27019999999999</v>
      </c>
      <c r="F716" s="381">
        <f t="shared" si="254"/>
        <v>77.19</v>
      </c>
      <c r="G716" s="381">
        <f t="shared" si="254"/>
        <v>51.271199999999993</v>
      </c>
      <c r="H716" s="381">
        <f t="shared" si="254"/>
        <v>3.8</v>
      </c>
      <c r="I716" s="381">
        <f t="shared" si="254"/>
        <v>1.8499999999999996</v>
      </c>
      <c r="J716" s="381">
        <f t="shared" si="254"/>
        <v>0</v>
      </c>
      <c r="K716" s="381">
        <f t="shared" si="254"/>
        <v>0</v>
      </c>
      <c r="L716" s="407">
        <f t="shared" si="254"/>
        <v>2.8032000000000004</v>
      </c>
      <c r="M716" s="381">
        <f t="shared" si="254"/>
        <v>0</v>
      </c>
      <c r="N716" s="381">
        <f t="shared" si="254"/>
        <v>3.5999999999999992</v>
      </c>
      <c r="O716" s="381">
        <f t="shared" si="254"/>
        <v>7.1999999999999975</v>
      </c>
      <c r="P716" s="381">
        <f t="shared" si="254"/>
        <v>0</v>
      </c>
      <c r="Q716" s="381">
        <f t="shared" si="254"/>
        <v>0</v>
      </c>
      <c r="R716" s="381">
        <f t="shared" si="254"/>
        <v>9.4079999999999995</v>
      </c>
      <c r="S716" s="381">
        <f t="shared" si="254"/>
        <v>10.5</v>
      </c>
      <c r="T716" s="381">
        <f t="shared" si="254"/>
        <v>12.01</v>
      </c>
      <c r="U716" s="381">
        <f t="shared" si="254"/>
        <v>0</v>
      </c>
      <c r="V716" s="381">
        <f t="shared" si="254"/>
        <v>0.1</v>
      </c>
      <c r="W716" s="381">
        <f t="shared" si="254"/>
        <v>0</v>
      </c>
      <c r="X716" s="381">
        <f t="shared" si="254"/>
        <v>10.808999999999999</v>
      </c>
      <c r="Y716" s="232">
        <f>Y717+Y729+Y738+Y741+Y766</f>
        <v>13927020</v>
      </c>
      <c r="Z716" s="232">
        <f>Z717+Z729+Z738+Z741+Z766</f>
        <v>83562120</v>
      </c>
    </row>
    <row r="717" spans="1:26" s="44" customFormat="1" ht="24" customHeight="1">
      <c r="A717" s="91" t="s">
        <v>2</v>
      </c>
      <c r="B717" s="75" t="s">
        <v>138</v>
      </c>
      <c r="C717" s="229"/>
      <c r="D717" s="229"/>
      <c r="E717" s="230">
        <f t="shared" ref="E717:X717" si="255">SUM(E718:E728)</f>
        <v>65.036000000000001</v>
      </c>
      <c r="F717" s="380">
        <f t="shared" si="255"/>
        <v>29.15</v>
      </c>
      <c r="G717" s="380">
        <f t="shared" si="255"/>
        <v>28.910999999999994</v>
      </c>
      <c r="H717" s="380">
        <f t="shared" si="255"/>
        <v>2.1999999999999997</v>
      </c>
      <c r="I717" s="380">
        <f t="shared" si="255"/>
        <v>1.8499999999999996</v>
      </c>
      <c r="J717" s="380">
        <f t="shared" si="255"/>
        <v>0</v>
      </c>
      <c r="K717" s="380">
        <f t="shared" si="255"/>
        <v>0</v>
      </c>
      <c r="L717" s="407">
        <f t="shared" si="255"/>
        <v>2.6030000000000002</v>
      </c>
      <c r="M717" s="380">
        <f t="shared" si="255"/>
        <v>0</v>
      </c>
      <c r="N717" s="380">
        <f t="shared" si="255"/>
        <v>0</v>
      </c>
      <c r="O717" s="380">
        <f t="shared" si="255"/>
        <v>0</v>
      </c>
      <c r="P717" s="380">
        <f t="shared" si="255"/>
        <v>0</v>
      </c>
      <c r="Q717" s="380">
        <f t="shared" si="255"/>
        <v>0</v>
      </c>
      <c r="R717" s="380">
        <f t="shared" si="255"/>
        <v>9.4079999999999995</v>
      </c>
      <c r="S717" s="380">
        <f t="shared" si="255"/>
        <v>5.1000000000000005</v>
      </c>
      <c r="T717" s="380">
        <f t="shared" si="255"/>
        <v>7.75</v>
      </c>
      <c r="U717" s="380">
        <f t="shared" si="255"/>
        <v>0</v>
      </c>
      <c r="V717" s="380">
        <f t="shared" si="255"/>
        <v>0</v>
      </c>
      <c r="W717" s="380">
        <f t="shared" si="255"/>
        <v>0</v>
      </c>
      <c r="X717" s="380">
        <f t="shared" si="255"/>
        <v>6.9749999999999996</v>
      </c>
      <c r="Y717" s="229">
        <f>SUM(Y718:Y728)</f>
        <v>6503600</v>
      </c>
      <c r="Z717" s="229">
        <f>SUM(Z718:Z728)</f>
        <v>39021600</v>
      </c>
    </row>
    <row r="718" spans="1:26" s="44" customFormat="1" ht="24" customHeight="1">
      <c r="A718" s="114">
        <v>1</v>
      </c>
      <c r="B718" s="97" t="s">
        <v>509</v>
      </c>
      <c r="C718" s="226"/>
      <c r="D718" s="226"/>
      <c r="E718" s="228">
        <f t="shared" ref="E718:E728" si="256">+F718+G718+X718</f>
        <v>9.7727500000000003</v>
      </c>
      <c r="F718" s="377">
        <v>3.99</v>
      </c>
      <c r="G718" s="376">
        <f t="shared" si="245"/>
        <v>4.8174999999999999</v>
      </c>
      <c r="H718" s="377">
        <v>0.2</v>
      </c>
      <c r="I718" s="377">
        <v>0.3</v>
      </c>
      <c r="J718" s="377"/>
      <c r="K718" s="377"/>
      <c r="L718" s="375">
        <f>F718*0.5+0.25</f>
        <v>2.2450000000000001</v>
      </c>
      <c r="M718" s="377"/>
      <c r="N718" s="377"/>
      <c r="O718" s="382"/>
      <c r="P718" s="377"/>
      <c r="Q718" s="377"/>
      <c r="R718" s="377"/>
      <c r="S718" s="377">
        <v>1</v>
      </c>
      <c r="T718" s="377">
        <f t="shared" ref="T718:T778" si="257">(F718+I718+J718)*25/100</f>
        <v>1.0725</v>
      </c>
      <c r="U718" s="377"/>
      <c r="V718" s="376"/>
      <c r="W718" s="377"/>
      <c r="X718" s="377">
        <f t="shared" ref="X718:X728" si="258">(F718+I718+J718+K718)*22.5/100</f>
        <v>0.96525000000000005</v>
      </c>
      <c r="Y718" s="222">
        <f t="shared" si="246"/>
        <v>977275</v>
      </c>
      <c r="Z718" s="223">
        <f t="shared" si="241"/>
        <v>5863650</v>
      </c>
    </row>
    <row r="719" spans="1:26" s="44" customFormat="1" ht="24" customHeight="1">
      <c r="A719" s="114">
        <v>2</v>
      </c>
      <c r="B719" s="97" t="s">
        <v>510</v>
      </c>
      <c r="C719" s="226"/>
      <c r="D719" s="226"/>
      <c r="E719" s="228">
        <f t="shared" si="256"/>
        <v>6.8385000000000007</v>
      </c>
      <c r="F719" s="377">
        <v>3.33</v>
      </c>
      <c r="G719" s="376">
        <f t="shared" si="245"/>
        <v>2.7030000000000003</v>
      </c>
      <c r="H719" s="377">
        <v>0.2</v>
      </c>
      <c r="I719" s="377">
        <v>0.25</v>
      </c>
      <c r="J719" s="377"/>
      <c r="K719" s="377"/>
      <c r="L719" s="375">
        <f>(F719+I719+J719)*10/100</f>
        <v>0.35799999999999998</v>
      </c>
      <c r="M719" s="377"/>
      <c r="N719" s="377"/>
      <c r="O719" s="382"/>
      <c r="P719" s="377"/>
      <c r="Q719" s="377"/>
      <c r="R719" s="377"/>
      <c r="S719" s="377">
        <v>1</v>
      </c>
      <c r="T719" s="377">
        <f t="shared" si="257"/>
        <v>0.89500000000000002</v>
      </c>
      <c r="U719" s="377"/>
      <c r="V719" s="376"/>
      <c r="W719" s="377"/>
      <c r="X719" s="377">
        <f t="shared" si="258"/>
        <v>0.80549999999999999</v>
      </c>
      <c r="Y719" s="222">
        <f t="shared" si="246"/>
        <v>683850.00000000012</v>
      </c>
      <c r="Z719" s="223">
        <f t="shared" si="241"/>
        <v>4103100.0000000009</v>
      </c>
    </row>
    <row r="720" spans="1:26" s="44" customFormat="1" ht="24" customHeight="1">
      <c r="A720" s="90">
        <v>3</v>
      </c>
      <c r="B720" s="115" t="s">
        <v>511</v>
      </c>
      <c r="C720" s="233"/>
      <c r="D720" s="233"/>
      <c r="E720" s="228">
        <f t="shared" si="256"/>
        <v>5.7244999999999999</v>
      </c>
      <c r="F720" s="375">
        <v>2.34</v>
      </c>
      <c r="G720" s="376">
        <f t="shared" si="245"/>
        <v>2.8129999999999997</v>
      </c>
      <c r="H720" s="375">
        <v>0.2</v>
      </c>
      <c r="I720" s="375">
        <v>0.2</v>
      </c>
      <c r="J720" s="377"/>
      <c r="K720" s="377"/>
      <c r="L720" s="383"/>
      <c r="M720" s="377"/>
      <c r="N720" s="377"/>
      <c r="O720" s="382"/>
      <c r="P720" s="377"/>
      <c r="Q720" s="377"/>
      <c r="R720" s="377">
        <f>(F720+I720+J720)*0.7</f>
        <v>1.7779999999999998</v>
      </c>
      <c r="S720" s="377"/>
      <c r="T720" s="377">
        <f t="shared" si="257"/>
        <v>0.63500000000000001</v>
      </c>
      <c r="U720" s="377"/>
      <c r="V720" s="376"/>
      <c r="W720" s="377"/>
      <c r="X720" s="377">
        <f t="shared" si="258"/>
        <v>0.57150000000000001</v>
      </c>
      <c r="Y720" s="222">
        <f t="shared" si="246"/>
        <v>572450</v>
      </c>
      <c r="Z720" s="223">
        <f t="shared" si="241"/>
        <v>3434700</v>
      </c>
    </row>
    <row r="721" spans="1:26" s="44" customFormat="1" ht="24" customHeight="1">
      <c r="A721" s="90">
        <v>4</v>
      </c>
      <c r="B721" s="115" t="s">
        <v>512</v>
      </c>
      <c r="C721" s="233"/>
      <c r="D721" s="233"/>
      <c r="E721" s="228">
        <f t="shared" si="256"/>
        <v>4.7202499999999992</v>
      </c>
      <c r="F721" s="375">
        <v>2.34</v>
      </c>
      <c r="G721" s="376">
        <f t="shared" si="245"/>
        <v>1.7974999999999999</v>
      </c>
      <c r="H721" s="375">
        <v>0.2</v>
      </c>
      <c r="I721" s="375">
        <v>0.25</v>
      </c>
      <c r="J721" s="377"/>
      <c r="K721" s="377"/>
      <c r="L721" s="383"/>
      <c r="M721" s="377"/>
      <c r="N721" s="377"/>
      <c r="O721" s="382"/>
      <c r="P721" s="377"/>
      <c r="Q721" s="377"/>
      <c r="R721" s="377"/>
      <c r="S721" s="377">
        <v>0.7</v>
      </c>
      <c r="T721" s="377">
        <f t="shared" si="257"/>
        <v>0.64749999999999996</v>
      </c>
      <c r="U721" s="377"/>
      <c r="V721" s="376"/>
      <c r="W721" s="377"/>
      <c r="X721" s="377">
        <f t="shared" si="258"/>
        <v>0.58274999999999999</v>
      </c>
      <c r="Y721" s="222">
        <f t="shared" si="246"/>
        <v>472024.99999999994</v>
      </c>
      <c r="Z721" s="223">
        <f t="shared" si="241"/>
        <v>2832149.9999999995</v>
      </c>
    </row>
    <row r="722" spans="1:26" s="44" customFormat="1" ht="24" customHeight="1">
      <c r="A722" s="90">
        <v>5</v>
      </c>
      <c r="B722" s="115" t="s">
        <v>513</v>
      </c>
      <c r="C722" s="233"/>
      <c r="D722" s="233"/>
      <c r="E722" s="228">
        <f t="shared" si="256"/>
        <v>5.7244999999999999</v>
      </c>
      <c r="F722" s="375">
        <v>2.34</v>
      </c>
      <c r="G722" s="376">
        <f t="shared" si="245"/>
        <v>2.8129999999999997</v>
      </c>
      <c r="H722" s="375">
        <v>0.2</v>
      </c>
      <c r="I722" s="375">
        <v>0.2</v>
      </c>
      <c r="J722" s="377"/>
      <c r="K722" s="377"/>
      <c r="L722" s="383"/>
      <c r="M722" s="377"/>
      <c r="N722" s="377"/>
      <c r="O722" s="382"/>
      <c r="P722" s="377"/>
      <c r="Q722" s="377"/>
      <c r="R722" s="377">
        <f>(F722+I722+J722)*0.7</f>
        <v>1.7779999999999998</v>
      </c>
      <c r="S722" s="377"/>
      <c r="T722" s="377">
        <f t="shared" si="257"/>
        <v>0.63500000000000001</v>
      </c>
      <c r="U722" s="377"/>
      <c r="V722" s="376"/>
      <c r="W722" s="377"/>
      <c r="X722" s="377">
        <f t="shared" si="258"/>
        <v>0.57150000000000001</v>
      </c>
      <c r="Y722" s="222">
        <f t="shared" si="246"/>
        <v>572450</v>
      </c>
      <c r="Z722" s="223">
        <f t="shared" si="241"/>
        <v>3434700</v>
      </c>
    </row>
    <row r="723" spans="1:26" s="44" customFormat="1" ht="24" customHeight="1">
      <c r="A723" s="90">
        <v>6</v>
      </c>
      <c r="B723" s="115" t="s">
        <v>514</v>
      </c>
      <c r="C723" s="233"/>
      <c r="D723" s="233"/>
      <c r="E723" s="228">
        <f t="shared" si="256"/>
        <v>8.5955000000000013</v>
      </c>
      <c r="F723" s="375">
        <v>3.66</v>
      </c>
      <c r="G723" s="376">
        <f t="shared" si="245"/>
        <v>4.0670000000000002</v>
      </c>
      <c r="H723" s="375">
        <v>0.2</v>
      </c>
      <c r="I723" s="375">
        <v>0.2</v>
      </c>
      <c r="J723" s="377"/>
      <c r="K723" s="377"/>
      <c r="L723" s="383"/>
      <c r="M723" s="377"/>
      <c r="N723" s="377"/>
      <c r="O723" s="382"/>
      <c r="P723" s="377"/>
      <c r="Q723" s="377"/>
      <c r="R723" s="377">
        <f>(F723+I723+J723)*0.7</f>
        <v>2.702</v>
      </c>
      <c r="S723" s="377"/>
      <c r="T723" s="377">
        <f t="shared" si="257"/>
        <v>0.96500000000000019</v>
      </c>
      <c r="U723" s="377"/>
      <c r="V723" s="376"/>
      <c r="W723" s="377"/>
      <c r="X723" s="377">
        <f t="shared" si="258"/>
        <v>0.86850000000000005</v>
      </c>
      <c r="Y723" s="222">
        <f t="shared" si="246"/>
        <v>859550.00000000012</v>
      </c>
      <c r="Z723" s="223">
        <f t="shared" si="241"/>
        <v>5157300.0000000009</v>
      </c>
    </row>
    <row r="724" spans="1:26" s="44" customFormat="1" ht="24" customHeight="1">
      <c r="A724" s="90">
        <v>7</v>
      </c>
      <c r="B724" s="97" t="s">
        <v>515</v>
      </c>
      <c r="C724" s="233"/>
      <c r="D724" s="233"/>
      <c r="E724" s="228">
        <f t="shared" si="256"/>
        <v>4.7350000000000003</v>
      </c>
      <c r="F724" s="375">
        <v>2.4500000000000002</v>
      </c>
      <c r="G724" s="376">
        <f t="shared" si="245"/>
        <v>1.6999999999999997</v>
      </c>
      <c r="H724" s="375">
        <v>0.2</v>
      </c>
      <c r="I724" s="375">
        <v>0.15</v>
      </c>
      <c r="J724" s="377"/>
      <c r="K724" s="377"/>
      <c r="L724" s="383"/>
      <c r="M724" s="377"/>
      <c r="N724" s="377"/>
      <c r="O724" s="382"/>
      <c r="P724" s="377"/>
      <c r="Q724" s="377"/>
      <c r="R724" s="377"/>
      <c r="S724" s="377">
        <v>0.7</v>
      </c>
      <c r="T724" s="377">
        <f t="shared" si="257"/>
        <v>0.65</v>
      </c>
      <c r="U724" s="377"/>
      <c r="V724" s="376"/>
      <c r="W724" s="377"/>
      <c r="X724" s="377">
        <f t="shared" si="258"/>
        <v>0.58499999999999996</v>
      </c>
      <c r="Y724" s="222">
        <f t="shared" si="246"/>
        <v>473500.00000000006</v>
      </c>
      <c r="Z724" s="223">
        <f t="shared" si="241"/>
        <v>2841000.0000000005</v>
      </c>
    </row>
    <row r="725" spans="1:26" s="44" customFormat="1" ht="24" customHeight="1">
      <c r="A725" s="90">
        <v>8</v>
      </c>
      <c r="B725" s="97" t="s">
        <v>516</v>
      </c>
      <c r="C725" s="233"/>
      <c r="D725" s="233"/>
      <c r="E725" s="228">
        <f t="shared" si="256"/>
        <v>4.5717500000000006</v>
      </c>
      <c r="F725" s="375">
        <v>1.86</v>
      </c>
      <c r="G725" s="376">
        <f t="shared" si="245"/>
        <v>2.2595000000000001</v>
      </c>
      <c r="H725" s="375">
        <v>0.2</v>
      </c>
      <c r="I725" s="375">
        <v>0.15</v>
      </c>
      <c r="J725" s="377"/>
      <c r="K725" s="377"/>
      <c r="L725" s="383"/>
      <c r="M725" s="377"/>
      <c r="N725" s="377"/>
      <c r="O725" s="382"/>
      <c r="P725" s="377"/>
      <c r="Q725" s="377"/>
      <c r="R725" s="377">
        <f>(F725+I725+J725)*0.7</f>
        <v>1.407</v>
      </c>
      <c r="S725" s="377"/>
      <c r="T725" s="377">
        <f t="shared" si="257"/>
        <v>0.50250000000000006</v>
      </c>
      <c r="U725" s="377"/>
      <c r="V725" s="376"/>
      <c r="W725" s="377"/>
      <c r="X725" s="377">
        <f t="shared" si="258"/>
        <v>0.4522500000000001</v>
      </c>
      <c r="Y725" s="222">
        <f t="shared" si="246"/>
        <v>457175.00000000006</v>
      </c>
      <c r="Z725" s="223">
        <f t="shared" si="241"/>
        <v>2743050.0000000005</v>
      </c>
    </row>
    <row r="726" spans="1:26" s="44" customFormat="1" ht="24" customHeight="1">
      <c r="A726" s="90">
        <v>9</v>
      </c>
      <c r="B726" s="97" t="s">
        <v>517</v>
      </c>
      <c r="C726" s="233"/>
      <c r="D726" s="233"/>
      <c r="E726" s="228">
        <f t="shared" si="256"/>
        <v>4.5187499999999998</v>
      </c>
      <c r="F726" s="375">
        <v>2.25</v>
      </c>
      <c r="G726" s="376">
        <f t="shared" si="245"/>
        <v>1.7625</v>
      </c>
      <c r="H726" s="375">
        <v>0.2</v>
      </c>
      <c r="I726" s="375"/>
      <c r="J726" s="377"/>
      <c r="K726" s="377"/>
      <c r="L726" s="383"/>
      <c r="M726" s="377"/>
      <c r="N726" s="377"/>
      <c r="O726" s="382"/>
      <c r="P726" s="377"/>
      <c r="Q726" s="377"/>
      <c r="R726" s="377"/>
      <c r="S726" s="377">
        <v>1</v>
      </c>
      <c r="T726" s="377">
        <f t="shared" si="257"/>
        <v>0.5625</v>
      </c>
      <c r="U726" s="377"/>
      <c r="V726" s="376"/>
      <c r="W726" s="377"/>
      <c r="X726" s="377">
        <f t="shared" si="258"/>
        <v>0.50624999999999998</v>
      </c>
      <c r="Y726" s="222">
        <f t="shared" si="246"/>
        <v>451875</v>
      </c>
      <c r="Z726" s="223">
        <f t="shared" si="241"/>
        <v>2711250</v>
      </c>
    </row>
    <row r="727" spans="1:26" s="44" customFormat="1" ht="24" customHeight="1">
      <c r="A727" s="90">
        <v>10</v>
      </c>
      <c r="B727" s="97" t="s">
        <v>518</v>
      </c>
      <c r="C727" s="233"/>
      <c r="D727" s="233"/>
      <c r="E727" s="228">
        <f t="shared" si="256"/>
        <v>4.21875</v>
      </c>
      <c r="F727" s="375">
        <v>2.25</v>
      </c>
      <c r="G727" s="376">
        <f t="shared" si="245"/>
        <v>1.4624999999999999</v>
      </c>
      <c r="H727" s="375">
        <v>0.2</v>
      </c>
      <c r="I727" s="375"/>
      <c r="J727" s="377"/>
      <c r="K727" s="377"/>
      <c r="L727" s="383"/>
      <c r="M727" s="377"/>
      <c r="N727" s="377"/>
      <c r="O727" s="382"/>
      <c r="P727" s="377"/>
      <c r="Q727" s="377"/>
      <c r="R727" s="377"/>
      <c r="S727" s="377">
        <v>0.7</v>
      </c>
      <c r="T727" s="377">
        <f t="shared" si="257"/>
        <v>0.5625</v>
      </c>
      <c r="U727" s="377"/>
      <c r="V727" s="376"/>
      <c r="W727" s="377"/>
      <c r="X727" s="377">
        <f t="shared" si="258"/>
        <v>0.50624999999999998</v>
      </c>
      <c r="Y727" s="222">
        <f t="shared" si="246"/>
        <v>421875</v>
      </c>
      <c r="Z727" s="223">
        <f t="shared" si="241"/>
        <v>2531250</v>
      </c>
    </row>
    <row r="728" spans="1:26" s="44" customFormat="1" ht="24" customHeight="1">
      <c r="A728" s="90">
        <v>11</v>
      </c>
      <c r="B728" s="97" t="s">
        <v>533</v>
      </c>
      <c r="C728" s="233"/>
      <c r="D728" s="233"/>
      <c r="E728" s="228">
        <f t="shared" si="256"/>
        <v>5.6157499999999994</v>
      </c>
      <c r="F728" s="375">
        <v>2.34</v>
      </c>
      <c r="G728" s="376">
        <f t="shared" si="245"/>
        <v>2.7154999999999996</v>
      </c>
      <c r="H728" s="375">
        <v>0.2</v>
      </c>
      <c r="I728" s="375">
        <v>0.15</v>
      </c>
      <c r="J728" s="377"/>
      <c r="K728" s="377"/>
      <c r="L728" s="383"/>
      <c r="M728" s="377"/>
      <c r="N728" s="377"/>
      <c r="O728" s="382"/>
      <c r="P728" s="377"/>
      <c r="Q728" s="377"/>
      <c r="R728" s="377">
        <f>(F728+I728+J728)*0.7</f>
        <v>1.7429999999999997</v>
      </c>
      <c r="S728" s="377"/>
      <c r="T728" s="377">
        <f t="shared" si="257"/>
        <v>0.62249999999999994</v>
      </c>
      <c r="U728" s="377"/>
      <c r="V728" s="376"/>
      <c r="W728" s="377"/>
      <c r="X728" s="377">
        <f t="shared" si="258"/>
        <v>0.56024999999999991</v>
      </c>
      <c r="Y728" s="222">
        <f t="shared" si="246"/>
        <v>561574.99999999988</v>
      </c>
      <c r="Z728" s="223">
        <f t="shared" si="241"/>
        <v>3369449.9999999991</v>
      </c>
    </row>
    <row r="729" spans="1:26" s="44" customFormat="1" ht="24" customHeight="1">
      <c r="A729" s="91" t="s">
        <v>3</v>
      </c>
      <c r="B729" s="276" t="s">
        <v>152</v>
      </c>
      <c r="C729" s="229"/>
      <c r="D729" s="229"/>
      <c r="E729" s="231">
        <f t="shared" ref="E729:W729" si="259">SUM(E730:E737)</f>
        <v>32.434199999999997</v>
      </c>
      <c r="F729" s="381">
        <f t="shared" si="259"/>
        <v>17.04</v>
      </c>
      <c r="G729" s="381">
        <f t="shared" si="259"/>
        <v>11.560199999999998</v>
      </c>
      <c r="H729" s="381">
        <f t="shared" si="259"/>
        <v>1.5999999999999999</v>
      </c>
      <c r="I729" s="381">
        <f t="shared" si="259"/>
        <v>0</v>
      </c>
      <c r="J729" s="381">
        <f t="shared" si="259"/>
        <v>0</v>
      </c>
      <c r="K729" s="381">
        <f t="shared" si="259"/>
        <v>0</v>
      </c>
      <c r="L729" s="407">
        <f t="shared" si="259"/>
        <v>0.20019999999999999</v>
      </c>
      <c r="M729" s="381">
        <f t="shared" si="259"/>
        <v>0</v>
      </c>
      <c r="N729" s="381">
        <f t="shared" si="259"/>
        <v>0</v>
      </c>
      <c r="O729" s="381">
        <f t="shared" si="259"/>
        <v>0</v>
      </c>
      <c r="P729" s="381">
        <f t="shared" si="259"/>
        <v>0</v>
      </c>
      <c r="Q729" s="381">
        <f t="shared" si="259"/>
        <v>0</v>
      </c>
      <c r="R729" s="381">
        <f t="shared" si="259"/>
        <v>0</v>
      </c>
      <c r="S729" s="381">
        <f t="shared" si="259"/>
        <v>5.4</v>
      </c>
      <c r="T729" s="381">
        <f t="shared" si="259"/>
        <v>4.26</v>
      </c>
      <c r="U729" s="381">
        <f t="shared" si="259"/>
        <v>0</v>
      </c>
      <c r="V729" s="381">
        <f t="shared" si="259"/>
        <v>0.1</v>
      </c>
      <c r="W729" s="381">
        <f t="shared" si="259"/>
        <v>0</v>
      </c>
      <c r="X729" s="381">
        <f>SUM(X730:X737)</f>
        <v>3.8339999999999996</v>
      </c>
      <c r="Y729" s="232">
        <f>SUM(Y730:Y737)</f>
        <v>3243420</v>
      </c>
      <c r="Z729" s="232">
        <f>SUM(Z730:Z737)</f>
        <v>19460520</v>
      </c>
    </row>
    <row r="730" spans="1:26" s="44" customFormat="1" ht="24" customHeight="1">
      <c r="A730" s="114">
        <v>1</v>
      </c>
      <c r="B730" s="97" t="s">
        <v>520</v>
      </c>
      <c r="C730" s="226"/>
      <c r="D730" s="226"/>
      <c r="E730" s="228">
        <f t="shared" ref="E730:E737" si="260">+F730+G730+X730</f>
        <v>2.6404999999999998</v>
      </c>
      <c r="F730" s="375">
        <v>1.18</v>
      </c>
      <c r="G730" s="376">
        <f t="shared" si="245"/>
        <v>1.1949999999999998</v>
      </c>
      <c r="H730" s="377">
        <v>0.2</v>
      </c>
      <c r="I730" s="382"/>
      <c r="J730" s="377"/>
      <c r="K730" s="377"/>
      <c r="L730" s="383"/>
      <c r="M730" s="377"/>
      <c r="N730" s="377"/>
      <c r="O730" s="382"/>
      <c r="P730" s="377"/>
      <c r="Q730" s="377"/>
      <c r="R730" s="377"/>
      <c r="S730" s="377">
        <v>0.7</v>
      </c>
      <c r="T730" s="377">
        <f t="shared" si="257"/>
        <v>0.29499999999999998</v>
      </c>
      <c r="U730" s="377"/>
      <c r="V730" s="376"/>
      <c r="W730" s="377"/>
      <c r="X730" s="377">
        <f t="shared" ref="X730:X737" si="261">(F730+I730+J730+K730)*22.5/100</f>
        <v>0.26549999999999996</v>
      </c>
      <c r="Y730" s="222">
        <f t="shared" si="246"/>
        <v>264050</v>
      </c>
      <c r="Z730" s="223">
        <f t="shared" ref="Z730:Z793" si="262">Y730*6</f>
        <v>1584300</v>
      </c>
    </row>
    <row r="731" spans="1:26" s="44" customFormat="1" ht="24" customHeight="1">
      <c r="A731" s="114">
        <v>2</v>
      </c>
      <c r="B731" s="97" t="s">
        <v>521</v>
      </c>
      <c r="C731" s="226"/>
      <c r="D731" s="226"/>
      <c r="E731" s="228">
        <f t="shared" si="260"/>
        <v>2.9404999999999997</v>
      </c>
      <c r="F731" s="375">
        <v>1.18</v>
      </c>
      <c r="G731" s="376">
        <f t="shared" si="245"/>
        <v>1.4949999999999999</v>
      </c>
      <c r="H731" s="377">
        <v>0.2</v>
      </c>
      <c r="I731" s="382"/>
      <c r="J731" s="377"/>
      <c r="K731" s="377"/>
      <c r="L731" s="383"/>
      <c r="M731" s="377"/>
      <c r="N731" s="377"/>
      <c r="O731" s="382"/>
      <c r="P731" s="377"/>
      <c r="Q731" s="377"/>
      <c r="R731" s="377"/>
      <c r="S731" s="377">
        <v>1</v>
      </c>
      <c r="T731" s="377">
        <f t="shared" si="257"/>
        <v>0.29499999999999998</v>
      </c>
      <c r="U731" s="377"/>
      <c r="V731" s="376"/>
      <c r="W731" s="377"/>
      <c r="X731" s="377">
        <f t="shared" si="261"/>
        <v>0.26549999999999996</v>
      </c>
      <c r="Y731" s="222">
        <f t="shared" si="246"/>
        <v>294049.99999999994</v>
      </c>
      <c r="Z731" s="223">
        <f t="shared" si="262"/>
        <v>1764299.9999999995</v>
      </c>
    </row>
    <row r="732" spans="1:26" s="44" customFormat="1" ht="24" customHeight="1">
      <c r="A732" s="114">
        <v>3</v>
      </c>
      <c r="B732" s="115" t="s">
        <v>526</v>
      </c>
      <c r="C732" s="226"/>
      <c r="D732" s="226"/>
      <c r="E732" s="228">
        <f t="shared" si="260"/>
        <v>5.6186999999999987</v>
      </c>
      <c r="F732" s="375">
        <v>2.86</v>
      </c>
      <c r="G732" s="376">
        <f t="shared" si="245"/>
        <v>2.1151999999999997</v>
      </c>
      <c r="H732" s="377">
        <v>0.2</v>
      </c>
      <c r="I732" s="382"/>
      <c r="J732" s="377"/>
      <c r="K732" s="377"/>
      <c r="L732" s="385">
        <f>(F732+I732+J732)*7/100</f>
        <v>0.20019999999999999</v>
      </c>
      <c r="M732" s="377"/>
      <c r="N732" s="377"/>
      <c r="O732" s="382"/>
      <c r="P732" s="377"/>
      <c r="Q732" s="377"/>
      <c r="R732" s="377"/>
      <c r="S732" s="377">
        <v>1</v>
      </c>
      <c r="T732" s="377">
        <f t="shared" si="257"/>
        <v>0.71499999999999997</v>
      </c>
      <c r="U732" s="377"/>
      <c r="V732" s="376"/>
      <c r="W732" s="377"/>
      <c r="X732" s="377">
        <f t="shared" si="261"/>
        <v>0.64349999999999996</v>
      </c>
      <c r="Y732" s="222">
        <f t="shared" si="246"/>
        <v>561869.99999999988</v>
      </c>
      <c r="Z732" s="223">
        <f t="shared" si="262"/>
        <v>3371219.9999999991</v>
      </c>
    </row>
    <row r="733" spans="1:26" s="44" customFormat="1" ht="24" customHeight="1">
      <c r="A733" s="90">
        <v>4</v>
      </c>
      <c r="B733" s="115" t="s">
        <v>706</v>
      </c>
      <c r="C733" s="277"/>
      <c r="D733" s="277"/>
      <c r="E733" s="228">
        <f t="shared" si="260"/>
        <v>4.8120000000000003</v>
      </c>
      <c r="F733" s="375">
        <v>2.72</v>
      </c>
      <c r="G733" s="376">
        <f t="shared" si="245"/>
        <v>1.48</v>
      </c>
      <c r="H733" s="376">
        <v>0.2</v>
      </c>
      <c r="I733" s="382"/>
      <c r="J733" s="377"/>
      <c r="K733" s="377"/>
      <c r="L733" s="383"/>
      <c r="M733" s="377"/>
      <c r="N733" s="377"/>
      <c r="O733" s="382"/>
      <c r="P733" s="377"/>
      <c r="Q733" s="377"/>
      <c r="R733" s="377"/>
      <c r="S733" s="377">
        <v>0.5</v>
      </c>
      <c r="T733" s="377">
        <f t="shared" si="257"/>
        <v>0.68</v>
      </c>
      <c r="U733" s="377"/>
      <c r="V733" s="376">
        <v>0.1</v>
      </c>
      <c r="W733" s="377"/>
      <c r="X733" s="377">
        <f t="shared" si="261"/>
        <v>0.61199999999999999</v>
      </c>
      <c r="Y733" s="222">
        <f t="shared" si="246"/>
        <v>481200</v>
      </c>
      <c r="Z733" s="223">
        <f t="shared" si="262"/>
        <v>2887200</v>
      </c>
    </row>
    <row r="734" spans="1:26" s="44" customFormat="1" ht="24" customHeight="1">
      <c r="A734" s="114">
        <v>5</v>
      </c>
      <c r="B734" s="115" t="s">
        <v>707</v>
      </c>
      <c r="C734" s="226"/>
      <c r="D734" s="226"/>
      <c r="E734" s="228">
        <f t="shared" si="260"/>
        <v>4.3285</v>
      </c>
      <c r="F734" s="375">
        <v>2.46</v>
      </c>
      <c r="G734" s="376">
        <f t="shared" si="245"/>
        <v>1.3149999999999999</v>
      </c>
      <c r="H734" s="377">
        <v>0.2</v>
      </c>
      <c r="I734" s="382"/>
      <c r="J734" s="377"/>
      <c r="K734" s="377"/>
      <c r="L734" s="383"/>
      <c r="M734" s="377"/>
      <c r="N734" s="377"/>
      <c r="O734" s="382"/>
      <c r="P734" s="377"/>
      <c r="Q734" s="377"/>
      <c r="R734" s="377"/>
      <c r="S734" s="377">
        <v>0.5</v>
      </c>
      <c r="T734" s="377">
        <f t="shared" si="257"/>
        <v>0.61499999999999999</v>
      </c>
      <c r="U734" s="377"/>
      <c r="V734" s="376"/>
      <c r="W734" s="377"/>
      <c r="X734" s="377">
        <f t="shared" si="261"/>
        <v>0.55349999999999999</v>
      </c>
      <c r="Y734" s="222">
        <f t="shared" si="246"/>
        <v>432850</v>
      </c>
      <c r="Z734" s="223">
        <f t="shared" si="262"/>
        <v>2597100</v>
      </c>
    </row>
    <row r="735" spans="1:26" s="44" customFormat="1" ht="24" customHeight="1">
      <c r="A735" s="114">
        <v>6</v>
      </c>
      <c r="B735" s="115" t="s">
        <v>708</v>
      </c>
      <c r="C735" s="226"/>
      <c r="D735" s="226"/>
      <c r="E735" s="228">
        <f t="shared" si="260"/>
        <v>5.125</v>
      </c>
      <c r="F735" s="375">
        <v>3</v>
      </c>
      <c r="G735" s="376">
        <f t="shared" ref="G735:G778" si="263">+SUM(H735:W735)</f>
        <v>1.45</v>
      </c>
      <c r="H735" s="377">
        <v>0.2</v>
      </c>
      <c r="I735" s="382"/>
      <c r="J735" s="377"/>
      <c r="K735" s="377"/>
      <c r="L735" s="383"/>
      <c r="M735" s="377"/>
      <c r="N735" s="377"/>
      <c r="O735" s="382"/>
      <c r="P735" s="377"/>
      <c r="Q735" s="377"/>
      <c r="R735" s="377"/>
      <c r="S735" s="377">
        <v>0.5</v>
      </c>
      <c r="T735" s="377">
        <f t="shared" si="257"/>
        <v>0.75</v>
      </c>
      <c r="U735" s="377"/>
      <c r="V735" s="376"/>
      <c r="W735" s="377"/>
      <c r="X735" s="377">
        <f t="shared" si="261"/>
        <v>0.67500000000000004</v>
      </c>
      <c r="Y735" s="222">
        <f t="shared" si="246"/>
        <v>512500</v>
      </c>
      <c r="Z735" s="223">
        <f t="shared" si="262"/>
        <v>3075000</v>
      </c>
    </row>
    <row r="736" spans="1:26" s="44" customFormat="1" ht="24" customHeight="1">
      <c r="A736" s="114">
        <v>7</v>
      </c>
      <c r="B736" s="115" t="s">
        <v>522</v>
      </c>
      <c r="C736" s="226"/>
      <c r="D736" s="226"/>
      <c r="E736" s="228">
        <f t="shared" si="260"/>
        <v>4.3285</v>
      </c>
      <c r="F736" s="375">
        <v>2.46</v>
      </c>
      <c r="G736" s="376">
        <f t="shared" si="263"/>
        <v>1.3149999999999999</v>
      </c>
      <c r="H736" s="377">
        <v>0.2</v>
      </c>
      <c r="I736" s="382"/>
      <c r="J736" s="377"/>
      <c r="K736" s="377"/>
      <c r="L736" s="383"/>
      <c r="M736" s="377"/>
      <c r="N736" s="377"/>
      <c r="O736" s="382"/>
      <c r="P736" s="377"/>
      <c r="Q736" s="377"/>
      <c r="R736" s="377"/>
      <c r="S736" s="377">
        <v>0.5</v>
      </c>
      <c r="T736" s="377">
        <f t="shared" si="257"/>
        <v>0.61499999999999999</v>
      </c>
      <c r="U736" s="377"/>
      <c r="V736" s="376"/>
      <c r="W736" s="377"/>
      <c r="X736" s="377">
        <f t="shared" si="261"/>
        <v>0.55349999999999999</v>
      </c>
      <c r="Y736" s="222">
        <f t="shared" si="246"/>
        <v>432850</v>
      </c>
      <c r="Z736" s="223">
        <f t="shared" si="262"/>
        <v>2597100</v>
      </c>
    </row>
    <row r="737" spans="1:26" s="44" customFormat="1" ht="24" customHeight="1">
      <c r="A737" s="114">
        <v>8</v>
      </c>
      <c r="B737" s="278" t="s">
        <v>636</v>
      </c>
      <c r="C737" s="279"/>
      <c r="D737" s="279"/>
      <c r="E737" s="228">
        <f t="shared" si="260"/>
        <v>2.6404999999999998</v>
      </c>
      <c r="F737" s="415">
        <v>1.18</v>
      </c>
      <c r="G737" s="416">
        <f>+SUM(H737:U737)</f>
        <v>1.1949999999999998</v>
      </c>
      <c r="H737" s="417">
        <v>0.2</v>
      </c>
      <c r="I737" s="418"/>
      <c r="J737" s="418"/>
      <c r="K737" s="418"/>
      <c r="L737" s="419"/>
      <c r="M737" s="418"/>
      <c r="N737" s="418"/>
      <c r="O737" s="418"/>
      <c r="P737" s="418"/>
      <c r="Q737" s="420"/>
      <c r="R737" s="420"/>
      <c r="S737" s="421">
        <v>0.7</v>
      </c>
      <c r="T737" s="377">
        <f t="shared" si="257"/>
        <v>0.29499999999999998</v>
      </c>
      <c r="U737" s="419"/>
      <c r="V737" s="422"/>
      <c r="W737" s="423"/>
      <c r="X737" s="377">
        <f t="shared" si="261"/>
        <v>0.26549999999999996</v>
      </c>
      <c r="Y737" s="222">
        <f t="shared" si="246"/>
        <v>264050</v>
      </c>
      <c r="Z737" s="223">
        <f t="shared" si="262"/>
        <v>1584300</v>
      </c>
    </row>
    <row r="738" spans="1:26" s="44" customFormat="1" ht="36" customHeight="1">
      <c r="A738" s="91" t="s">
        <v>4</v>
      </c>
      <c r="B738" s="75" t="s">
        <v>332</v>
      </c>
      <c r="C738" s="229"/>
      <c r="D738" s="229"/>
      <c r="E738" s="230">
        <f t="shared" ref="E738:Z738" si="264">E739+E740</f>
        <v>31</v>
      </c>
      <c r="F738" s="380">
        <f t="shared" si="264"/>
        <v>31</v>
      </c>
      <c r="G738" s="380">
        <f t="shared" si="264"/>
        <v>0</v>
      </c>
      <c r="H738" s="380">
        <f t="shared" si="264"/>
        <v>0</v>
      </c>
      <c r="I738" s="380">
        <f t="shared" si="264"/>
        <v>0</v>
      </c>
      <c r="J738" s="380">
        <f t="shared" si="264"/>
        <v>0</v>
      </c>
      <c r="K738" s="380">
        <f t="shared" si="264"/>
        <v>0</v>
      </c>
      <c r="L738" s="407">
        <f t="shared" si="264"/>
        <v>0</v>
      </c>
      <c r="M738" s="380">
        <f t="shared" si="264"/>
        <v>0</v>
      </c>
      <c r="N738" s="380">
        <f t="shared" si="264"/>
        <v>0</v>
      </c>
      <c r="O738" s="380">
        <f t="shared" si="264"/>
        <v>0</v>
      </c>
      <c r="P738" s="380">
        <f t="shared" si="264"/>
        <v>0</v>
      </c>
      <c r="Q738" s="380">
        <f t="shared" si="264"/>
        <v>0</v>
      </c>
      <c r="R738" s="380">
        <f t="shared" si="264"/>
        <v>0</v>
      </c>
      <c r="S738" s="380">
        <f t="shared" si="264"/>
        <v>0</v>
      </c>
      <c r="T738" s="380">
        <f t="shared" si="264"/>
        <v>0</v>
      </c>
      <c r="U738" s="380">
        <f t="shared" si="264"/>
        <v>0</v>
      </c>
      <c r="V738" s="380">
        <f t="shared" si="264"/>
        <v>0</v>
      </c>
      <c r="W738" s="380">
        <f t="shared" si="264"/>
        <v>0</v>
      </c>
      <c r="X738" s="380">
        <f t="shared" si="264"/>
        <v>0</v>
      </c>
      <c r="Y738" s="229">
        <f t="shared" si="264"/>
        <v>3100000</v>
      </c>
      <c r="Z738" s="229">
        <f t="shared" si="264"/>
        <v>18600000</v>
      </c>
    </row>
    <row r="739" spans="1:26" s="44" customFormat="1" ht="24" customHeight="1">
      <c r="A739" s="88">
        <v>1</v>
      </c>
      <c r="B739" s="97" t="s">
        <v>170</v>
      </c>
      <c r="C739" s="229">
        <v>14</v>
      </c>
      <c r="D739" s="226"/>
      <c r="E739" s="228">
        <f>+F739+G739+X739</f>
        <v>16</v>
      </c>
      <c r="F739" s="375">
        <v>16</v>
      </c>
      <c r="G739" s="376">
        <f t="shared" si="263"/>
        <v>0</v>
      </c>
      <c r="H739" s="377"/>
      <c r="I739" s="382"/>
      <c r="J739" s="377"/>
      <c r="K739" s="377"/>
      <c r="L739" s="383"/>
      <c r="M739" s="377"/>
      <c r="N739" s="377"/>
      <c r="O739" s="382"/>
      <c r="P739" s="377"/>
      <c r="Q739" s="377"/>
      <c r="R739" s="377"/>
      <c r="S739" s="377"/>
      <c r="T739" s="377"/>
      <c r="U739" s="377"/>
      <c r="V739" s="376"/>
      <c r="W739" s="377"/>
      <c r="X739" s="377"/>
      <c r="Y739" s="222">
        <f t="shared" ref="Y739:Y802" si="265">E739*100000</f>
        <v>1600000</v>
      </c>
      <c r="Z739" s="223">
        <f t="shared" si="262"/>
        <v>9600000</v>
      </c>
    </row>
    <row r="740" spans="1:26" s="44" customFormat="1" ht="24" customHeight="1">
      <c r="A740" s="85">
        <v>2</v>
      </c>
      <c r="B740" s="113" t="s">
        <v>411</v>
      </c>
      <c r="C740" s="229">
        <v>15</v>
      </c>
      <c r="D740" s="226"/>
      <c r="E740" s="228">
        <f>+F740+G740+X740</f>
        <v>15</v>
      </c>
      <c r="F740" s="375">
        <f>5*3</f>
        <v>15</v>
      </c>
      <c r="G740" s="376">
        <f t="shared" si="263"/>
        <v>0</v>
      </c>
      <c r="H740" s="377"/>
      <c r="I740" s="382"/>
      <c r="J740" s="377"/>
      <c r="K740" s="377"/>
      <c r="L740" s="383"/>
      <c r="M740" s="377"/>
      <c r="N740" s="377"/>
      <c r="O740" s="382"/>
      <c r="P740" s="377"/>
      <c r="Q740" s="377"/>
      <c r="R740" s="377"/>
      <c r="S740" s="377"/>
      <c r="T740" s="377"/>
      <c r="U740" s="377"/>
      <c r="V740" s="376"/>
      <c r="W740" s="377"/>
      <c r="X740" s="377"/>
      <c r="Y740" s="222">
        <f t="shared" si="265"/>
        <v>1500000</v>
      </c>
      <c r="Z740" s="223">
        <f t="shared" si="262"/>
        <v>9000000</v>
      </c>
    </row>
    <row r="741" spans="1:26" s="44" customFormat="1" ht="24" customHeight="1">
      <c r="A741" s="81" t="s">
        <v>59</v>
      </c>
      <c r="B741" s="240" t="s">
        <v>331</v>
      </c>
      <c r="C741" s="226"/>
      <c r="D741" s="226"/>
      <c r="E741" s="231">
        <f>SUM(E742:E765)</f>
        <v>7.1999999999999975</v>
      </c>
      <c r="F741" s="381">
        <f t="shared" ref="F741:X741" si="266">SUM(F742:F765)</f>
        <v>0</v>
      </c>
      <c r="G741" s="381">
        <f t="shared" si="266"/>
        <v>7.1999999999999975</v>
      </c>
      <c r="H741" s="381">
        <f t="shared" si="266"/>
        <v>0</v>
      </c>
      <c r="I741" s="381">
        <f t="shared" si="266"/>
        <v>0</v>
      </c>
      <c r="J741" s="381">
        <f t="shared" si="266"/>
        <v>0</v>
      </c>
      <c r="K741" s="381">
        <f t="shared" si="266"/>
        <v>0</v>
      </c>
      <c r="L741" s="407">
        <f t="shared" si="266"/>
        <v>0</v>
      </c>
      <c r="M741" s="381">
        <f t="shared" si="266"/>
        <v>0</v>
      </c>
      <c r="N741" s="381">
        <f t="shared" si="266"/>
        <v>0</v>
      </c>
      <c r="O741" s="381">
        <f t="shared" si="266"/>
        <v>7.1999999999999975</v>
      </c>
      <c r="P741" s="381">
        <f t="shared" si="266"/>
        <v>0</v>
      </c>
      <c r="Q741" s="381">
        <f t="shared" si="266"/>
        <v>0</v>
      </c>
      <c r="R741" s="381">
        <f t="shared" si="266"/>
        <v>0</v>
      </c>
      <c r="S741" s="381">
        <f t="shared" si="266"/>
        <v>0</v>
      </c>
      <c r="T741" s="381">
        <f t="shared" si="266"/>
        <v>0</v>
      </c>
      <c r="U741" s="381">
        <f t="shared" si="266"/>
        <v>0</v>
      </c>
      <c r="V741" s="381">
        <f t="shared" si="266"/>
        <v>0</v>
      </c>
      <c r="W741" s="381">
        <f t="shared" si="266"/>
        <v>0</v>
      </c>
      <c r="X741" s="381">
        <f t="shared" si="266"/>
        <v>0</v>
      </c>
      <c r="Y741" s="222">
        <f t="shared" si="265"/>
        <v>719999.99999999977</v>
      </c>
      <c r="Z741" s="223">
        <f t="shared" si="262"/>
        <v>4319999.9999999981</v>
      </c>
    </row>
    <row r="742" spans="1:26" s="44" customFormat="1" ht="24" customHeight="1">
      <c r="A742" s="79">
        <v>1</v>
      </c>
      <c r="B742" s="66" t="s">
        <v>509</v>
      </c>
      <c r="C742" s="226"/>
      <c r="D742" s="226"/>
      <c r="E742" s="228">
        <f t="shared" ref="E742:E765" si="267">+F742+G742+X742</f>
        <v>0.3</v>
      </c>
      <c r="F742" s="385"/>
      <c r="G742" s="376">
        <f t="shared" si="263"/>
        <v>0.3</v>
      </c>
      <c r="H742" s="377"/>
      <c r="I742" s="382"/>
      <c r="J742" s="377"/>
      <c r="K742" s="377"/>
      <c r="L742" s="383"/>
      <c r="M742" s="377"/>
      <c r="N742" s="377"/>
      <c r="O742" s="385">
        <v>0.3</v>
      </c>
      <c r="P742" s="377"/>
      <c r="Q742" s="377"/>
      <c r="R742" s="377"/>
      <c r="S742" s="377"/>
      <c r="T742" s="377">
        <f t="shared" si="257"/>
        <v>0</v>
      </c>
      <c r="U742" s="377"/>
      <c r="V742" s="376"/>
      <c r="W742" s="377"/>
      <c r="X742" s="377">
        <f t="shared" ref="X742:X765" si="268">(F742+I742+J742+K742)*22.5/100</f>
        <v>0</v>
      </c>
      <c r="Y742" s="222">
        <f t="shared" si="265"/>
        <v>30000</v>
      </c>
      <c r="Z742" s="223">
        <f t="shared" si="262"/>
        <v>180000</v>
      </c>
    </row>
    <row r="743" spans="1:26" s="44" customFormat="1" ht="24" customHeight="1">
      <c r="A743" s="79">
        <v>2</v>
      </c>
      <c r="B743" s="66" t="s">
        <v>510</v>
      </c>
      <c r="C743" s="226"/>
      <c r="D743" s="226"/>
      <c r="E743" s="228">
        <f t="shared" si="267"/>
        <v>0.3</v>
      </c>
      <c r="F743" s="385"/>
      <c r="G743" s="376">
        <f t="shared" si="263"/>
        <v>0.3</v>
      </c>
      <c r="H743" s="377"/>
      <c r="I743" s="382"/>
      <c r="J743" s="377"/>
      <c r="K743" s="377"/>
      <c r="L743" s="383"/>
      <c r="M743" s="377"/>
      <c r="N743" s="377"/>
      <c r="O743" s="385">
        <v>0.3</v>
      </c>
      <c r="P743" s="377"/>
      <c r="Q743" s="377"/>
      <c r="R743" s="377"/>
      <c r="S743" s="377"/>
      <c r="T743" s="377">
        <f t="shared" si="257"/>
        <v>0</v>
      </c>
      <c r="U743" s="377"/>
      <c r="V743" s="376"/>
      <c r="W743" s="377"/>
      <c r="X743" s="377">
        <f t="shared" si="268"/>
        <v>0</v>
      </c>
      <c r="Y743" s="222">
        <f t="shared" si="265"/>
        <v>30000</v>
      </c>
      <c r="Z743" s="223">
        <f t="shared" si="262"/>
        <v>180000</v>
      </c>
    </row>
    <row r="744" spans="1:26" s="44" customFormat="1" ht="24" customHeight="1">
      <c r="A744" s="79">
        <v>3</v>
      </c>
      <c r="B744" s="66" t="s">
        <v>512</v>
      </c>
      <c r="C744" s="226"/>
      <c r="D744" s="226"/>
      <c r="E744" s="228">
        <f t="shared" si="267"/>
        <v>0.3</v>
      </c>
      <c r="F744" s="385"/>
      <c r="G744" s="376">
        <f t="shared" si="263"/>
        <v>0.3</v>
      </c>
      <c r="H744" s="377"/>
      <c r="I744" s="382"/>
      <c r="J744" s="377"/>
      <c r="K744" s="377"/>
      <c r="L744" s="383"/>
      <c r="M744" s="377"/>
      <c r="N744" s="377"/>
      <c r="O744" s="385">
        <v>0.3</v>
      </c>
      <c r="P744" s="377"/>
      <c r="Q744" s="377"/>
      <c r="R744" s="377"/>
      <c r="S744" s="377"/>
      <c r="T744" s="377">
        <f t="shared" si="257"/>
        <v>0</v>
      </c>
      <c r="U744" s="377"/>
      <c r="V744" s="376"/>
      <c r="W744" s="377"/>
      <c r="X744" s="377">
        <f t="shared" si="268"/>
        <v>0</v>
      </c>
      <c r="Y744" s="222">
        <f t="shared" si="265"/>
        <v>30000</v>
      </c>
      <c r="Z744" s="223">
        <f t="shared" si="262"/>
        <v>180000</v>
      </c>
    </row>
    <row r="745" spans="1:26" s="44" customFormat="1" ht="24" customHeight="1">
      <c r="A745" s="79">
        <v>4</v>
      </c>
      <c r="B745" s="66" t="s">
        <v>524</v>
      </c>
      <c r="C745" s="226"/>
      <c r="D745" s="226"/>
      <c r="E745" s="228">
        <f t="shared" si="267"/>
        <v>0.3</v>
      </c>
      <c r="F745" s="385"/>
      <c r="G745" s="376">
        <f t="shared" si="263"/>
        <v>0.3</v>
      </c>
      <c r="H745" s="377"/>
      <c r="I745" s="382"/>
      <c r="J745" s="377"/>
      <c r="K745" s="377"/>
      <c r="L745" s="383"/>
      <c r="M745" s="377"/>
      <c r="N745" s="377"/>
      <c r="O745" s="385">
        <v>0.3</v>
      </c>
      <c r="P745" s="377"/>
      <c r="Q745" s="377"/>
      <c r="R745" s="377"/>
      <c r="S745" s="377"/>
      <c r="T745" s="377">
        <f t="shared" si="257"/>
        <v>0</v>
      </c>
      <c r="U745" s="377"/>
      <c r="V745" s="376"/>
      <c r="W745" s="377"/>
      <c r="X745" s="377">
        <f t="shared" si="268"/>
        <v>0</v>
      </c>
      <c r="Y745" s="222">
        <f t="shared" si="265"/>
        <v>30000</v>
      </c>
      <c r="Z745" s="223">
        <f t="shared" si="262"/>
        <v>180000</v>
      </c>
    </row>
    <row r="746" spans="1:26" s="44" customFormat="1" ht="24" customHeight="1">
      <c r="A746" s="79">
        <v>5</v>
      </c>
      <c r="B746" s="66" t="s">
        <v>513</v>
      </c>
      <c r="C746" s="226"/>
      <c r="D746" s="226"/>
      <c r="E746" s="228">
        <f t="shared" si="267"/>
        <v>0.3</v>
      </c>
      <c r="F746" s="385"/>
      <c r="G746" s="376">
        <f t="shared" si="263"/>
        <v>0.3</v>
      </c>
      <c r="H746" s="377"/>
      <c r="I746" s="382"/>
      <c r="J746" s="377"/>
      <c r="K746" s="377"/>
      <c r="L746" s="383"/>
      <c r="M746" s="377"/>
      <c r="N746" s="377"/>
      <c r="O746" s="385">
        <v>0.3</v>
      </c>
      <c r="P746" s="377"/>
      <c r="Q746" s="377"/>
      <c r="R746" s="377"/>
      <c r="S746" s="377"/>
      <c r="T746" s="377">
        <f t="shared" si="257"/>
        <v>0</v>
      </c>
      <c r="U746" s="377"/>
      <c r="V746" s="376"/>
      <c r="W746" s="377"/>
      <c r="X746" s="377">
        <f t="shared" si="268"/>
        <v>0</v>
      </c>
      <c r="Y746" s="222">
        <f t="shared" si="265"/>
        <v>30000</v>
      </c>
      <c r="Z746" s="223">
        <f t="shared" si="262"/>
        <v>180000</v>
      </c>
    </row>
    <row r="747" spans="1:26" s="44" customFormat="1" ht="24" customHeight="1">
      <c r="A747" s="79">
        <v>6</v>
      </c>
      <c r="B747" s="66" t="s">
        <v>519</v>
      </c>
      <c r="C747" s="226"/>
      <c r="D747" s="226"/>
      <c r="E747" s="228">
        <f t="shared" si="267"/>
        <v>0.3</v>
      </c>
      <c r="F747" s="385"/>
      <c r="G747" s="376">
        <f t="shared" si="263"/>
        <v>0.3</v>
      </c>
      <c r="H747" s="377"/>
      <c r="I747" s="382"/>
      <c r="J747" s="377"/>
      <c r="K747" s="377"/>
      <c r="L747" s="383"/>
      <c r="M747" s="377"/>
      <c r="N747" s="377"/>
      <c r="O747" s="385">
        <v>0.3</v>
      </c>
      <c r="P747" s="377"/>
      <c r="Q747" s="377"/>
      <c r="R747" s="377"/>
      <c r="S747" s="377"/>
      <c r="T747" s="377">
        <f t="shared" si="257"/>
        <v>0</v>
      </c>
      <c r="U747" s="377"/>
      <c r="V747" s="376"/>
      <c r="W747" s="377"/>
      <c r="X747" s="377">
        <f t="shared" si="268"/>
        <v>0</v>
      </c>
      <c r="Y747" s="222">
        <f t="shared" si="265"/>
        <v>30000</v>
      </c>
      <c r="Z747" s="223">
        <f t="shared" si="262"/>
        <v>180000</v>
      </c>
    </row>
    <row r="748" spans="1:26" s="44" customFormat="1" ht="24" customHeight="1">
      <c r="A748" s="79">
        <v>7</v>
      </c>
      <c r="B748" s="66" t="s">
        <v>525</v>
      </c>
      <c r="C748" s="226"/>
      <c r="D748" s="226"/>
      <c r="E748" s="228">
        <f t="shared" si="267"/>
        <v>0.3</v>
      </c>
      <c r="F748" s="385"/>
      <c r="G748" s="376">
        <f t="shared" si="263"/>
        <v>0.3</v>
      </c>
      <c r="H748" s="377"/>
      <c r="I748" s="382"/>
      <c r="J748" s="377"/>
      <c r="K748" s="377"/>
      <c r="L748" s="383"/>
      <c r="M748" s="377"/>
      <c r="N748" s="377"/>
      <c r="O748" s="385">
        <v>0.3</v>
      </c>
      <c r="P748" s="377"/>
      <c r="Q748" s="377"/>
      <c r="R748" s="377"/>
      <c r="S748" s="377"/>
      <c r="T748" s="377">
        <f t="shared" si="257"/>
        <v>0</v>
      </c>
      <c r="U748" s="377"/>
      <c r="V748" s="376"/>
      <c r="W748" s="377"/>
      <c r="X748" s="377">
        <f t="shared" si="268"/>
        <v>0</v>
      </c>
      <c r="Y748" s="222">
        <f t="shared" si="265"/>
        <v>30000</v>
      </c>
      <c r="Z748" s="223">
        <f t="shared" si="262"/>
        <v>180000</v>
      </c>
    </row>
    <row r="749" spans="1:26" s="44" customFormat="1" ht="24" customHeight="1">
      <c r="A749" s="79">
        <v>8</v>
      </c>
      <c r="B749" s="66" t="s">
        <v>526</v>
      </c>
      <c r="C749" s="226"/>
      <c r="D749" s="226"/>
      <c r="E749" s="228">
        <f t="shared" si="267"/>
        <v>0.3</v>
      </c>
      <c r="F749" s="385"/>
      <c r="G749" s="376">
        <f t="shared" si="263"/>
        <v>0.3</v>
      </c>
      <c r="H749" s="377"/>
      <c r="I749" s="382"/>
      <c r="J749" s="377"/>
      <c r="K749" s="377"/>
      <c r="L749" s="383"/>
      <c r="M749" s="377"/>
      <c r="N749" s="377"/>
      <c r="O749" s="385">
        <v>0.3</v>
      </c>
      <c r="P749" s="377"/>
      <c r="Q749" s="377"/>
      <c r="R749" s="377"/>
      <c r="S749" s="377"/>
      <c r="T749" s="377">
        <f t="shared" si="257"/>
        <v>0</v>
      </c>
      <c r="U749" s="377"/>
      <c r="V749" s="376"/>
      <c r="W749" s="377"/>
      <c r="X749" s="377">
        <f t="shared" si="268"/>
        <v>0</v>
      </c>
      <c r="Y749" s="222">
        <f t="shared" si="265"/>
        <v>30000</v>
      </c>
      <c r="Z749" s="223">
        <f t="shared" si="262"/>
        <v>180000</v>
      </c>
    </row>
    <row r="750" spans="1:26" s="44" customFormat="1" ht="24" customHeight="1">
      <c r="A750" s="79">
        <v>9</v>
      </c>
      <c r="B750" s="66" t="s">
        <v>527</v>
      </c>
      <c r="C750" s="226"/>
      <c r="D750" s="226"/>
      <c r="E750" s="228">
        <f t="shared" si="267"/>
        <v>0.3</v>
      </c>
      <c r="F750" s="385"/>
      <c r="G750" s="376">
        <f t="shared" si="263"/>
        <v>0.3</v>
      </c>
      <c r="H750" s="377"/>
      <c r="I750" s="382"/>
      <c r="J750" s="377"/>
      <c r="K750" s="377"/>
      <c r="L750" s="383"/>
      <c r="M750" s="377"/>
      <c r="N750" s="377"/>
      <c r="O750" s="385">
        <v>0.3</v>
      </c>
      <c r="P750" s="377"/>
      <c r="Q750" s="377"/>
      <c r="R750" s="377"/>
      <c r="S750" s="377"/>
      <c r="T750" s="377">
        <f t="shared" si="257"/>
        <v>0</v>
      </c>
      <c r="U750" s="377"/>
      <c r="V750" s="376"/>
      <c r="W750" s="377"/>
      <c r="X750" s="377">
        <f t="shared" si="268"/>
        <v>0</v>
      </c>
      <c r="Y750" s="222">
        <f t="shared" si="265"/>
        <v>30000</v>
      </c>
      <c r="Z750" s="223">
        <f t="shared" si="262"/>
        <v>180000</v>
      </c>
    </row>
    <row r="751" spans="1:26" s="44" customFormat="1" ht="24" customHeight="1">
      <c r="A751" s="79">
        <v>10</v>
      </c>
      <c r="B751" s="66" t="s">
        <v>528</v>
      </c>
      <c r="C751" s="226"/>
      <c r="D751" s="226"/>
      <c r="E751" s="228">
        <f t="shared" si="267"/>
        <v>0.3</v>
      </c>
      <c r="F751" s="385"/>
      <c r="G751" s="376">
        <f t="shared" si="263"/>
        <v>0.3</v>
      </c>
      <c r="H751" s="377"/>
      <c r="I751" s="382"/>
      <c r="J751" s="377"/>
      <c r="K751" s="377"/>
      <c r="L751" s="383"/>
      <c r="M751" s="377"/>
      <c r="N751" s="377"/>
      <c r="O751" s="385">
        <v>0.3</v>
      </c>
      <c r="P751" s="377"/>
      <c r="Q751" s="377"/>
      <c r="R751" s="377"/>
      <c r="S751" s="377"/>
      <c r="T751" s="377">
        <f t="shared" si="257"/>
        <v>0</v>
      </c>
      <c r="U751" s="377"/>
      <c r="V751" s="376"/>
      <c r="W751" s="377"/>
      <c r="X751" s="377">
        <f t="shared" si="268"/>
        <v>0</v>
      </c>
      <c r="Y751" s="222">
        <f t="shared" si="265"/>
        <v>30000</v>
      </c>
      <c r="Z751" s="223">
        <f t="shared" si="262"/>
        <v>180000</v>
      </c>
    </row>
    <row r="752" spans="1:26" s="44" customFormat="1" ht="24" customHeight="1">
      <c r="A752" s="79">
        <v>11</v>
      </c>
      <c r="B752" s="66" t="s">
        <v>515</v>
      </c>
      <c r="C752" s="226"/>
      <c r="D752" s="226"/>
      <c r="E752" s="228">
        <f t="shared" si="267"/>
        <v>0.3</v>
      </c>
      <c r="F752" s="385"/>
      <c r="G752" s="376">
        <f t="shared" si="263"/>
        <v>0.3</v>
      </c>
      <c r="H752" s="377"/>
      <c r="I752" s="382"/>
      <c r="J752" s="377"/>
      <c r="K752" s="377"/>
      <c r="L752" s="383"/>
      <c r="M752" s="377"/>
      <c r="N752" s="377"/>
      <c r="O752" s="385">
        <v>0.3</v>
      </c>
      <c r="P752" s="377"/>
      <c r="Q752" s="377"/>
      <c r="R752" s="377"/>
      <c r="S752" s="377"/>
      <c r="T752" s="377">
        <f t="shared" si="257"/>
        <v>0</v>
      </c>
      <c r="U752" s="377"/>
      <c r="V752" s="376"/>
      <c r="W752" s="377"/>
      <c r="X752" s="377">
        <f t="shared" si="268"/>
        <v>0</v>
      </c>
      <c r="Y752" s="222">
        <f t="shared" si="265"/>
        <v>30000</v>
      </c>
      <c r="Z752" s="223">
        <f t="shared" si="262"/>
        <v>180000</v>
      </c>
    </row>
    <row r="753" spans="1:26" s="44" customFormat="1" ht="24" customHeight="1">
      <c r="A753" s="79">
        <v>12</v>
      </c>
      <c r="B753" s="66" t="s">
        <v>520</v>
      </c>
      <c r="C753" s="226"/>
      <c r="D753" s="226"/>
      <c r="E753" s="228">
        <f t="shared" si="267"/>
        <v>0.3</v>
      </c>
      <c r="F753" s="385"/>
      <c r="G753" s="376">
        <f t="shared" si="263"/>
        <v>0.3</v>
      </c>
      <c r="H753" s="377"/>
      <c r="I753" s="382"/>
      <c r="J753" s="377"/>
      <c r="K753" s="377"/>
      <c r="L753" s="383"/>
      <c r="M753" s="377"/>
      <c r="N753" s="377"/>
      <c r="O753" s="385">
        <v>0.3</v>
      </c>
      <c r="P753" s="377"/>
      <c r="Q753" s="377"/>
      <c r="R753" s="377"/>
      <c r="S753" s="377"/>
      <c r="T753" s="377">
        <f t="shared" si="257"/>
        <v>0</v>
      </c>
      <c r="U753" s="377"/>
      <c r="V753" s="376"/>
      <c r="W753" s="377"/>
      <c r="X753" s="377">
        <f t="shared" si="268"/>
        <v>0</v>
      </c>
      <c r="Y753" s="222">
        <f t="shared" si="265"/>
        <v>30000</v>
      </c>
      <c r="Z753" s="223">
        <f t="shared" si="262"/>
        <v>180000</v>
      </c>
    </row>
    <row r="754" spans="1:26" s="44" customFormat="1" ht="24" customHeight="1">
      <c r="A754" s="79">
        <v>13</v>
      </c>
      <c r="B754" s="66" t="s">
        <v>529</v>
      </c>
      <c r="C754" s="226"/>
      <c r="D754" s="226"/>
      <c r="E754" s="228">
        <f t="shared" si="267"/>
        <v>0.3</v>
      </c>
      <c r="F754" s="385"/>
      <c r="G754" s="376">
        <f t="shared" si="263"/>
        <v>0.3</v>
      </c>
      <c r="H754" s="377"/>
      <c r="I754" s="382"/>
      <c r="J754" s="377"/>
      <c r="K754" s="377"/>
      <c r="L754" s="383"/>
      <c r="M754" s="377"/>
      <c r="N754" s="377"/>
      <c r="O754" s="385">
        <v>0.3</v>
      </c>
      <c r="P754" s="377"/>
      <c r="Q754" s="377"/>
      <c r="R754" s="377"/>
      <c r="S754" s="377"/>
      <c r="T754" s="377">
        <f t="shared" si="257"/>
        <v>0</v>
      </c>
      <c r="U754" s="377"/>
      <c r="V754" s="376"/>
      <c r="W754" s="377"/>
      <c r="X754" s="377">
        <f t="shared" si="268"/>
        <v>0</v>
      </c>
      <c r="Y754" s="222">
        <f t="shared" si="265"/>
        <v>30000</v>
      </c>
      <c r="Z754" s="223">
        <f t="shared" si="262"/>
        <v>180000</v>
      </c>
    </row>
    <row r="755" spans="1:26" s="44" customFormat="1" ht="24" customHeight="1">
      <c r="A755" s="79">
        <v>14</v>
      </c>
      <c r="B755" s="66" t="s">
        <v>516</v>
      </c>
      <c r="C755" s="226"/>
      <c r="D755" s="226"/>
      <c r="E755" s="228">
        <f t="shared" si="267"/>
        <v>0.3</v>
      </c>
      <c r="F755" s="385"/>
      <c r="G755" s="376">
        <f t="shared" si="263"/>
        <v>0.3</v>
      </c>
      <c r="H755" s="377"/>
      <c r="I755" s="382"/>
      <c r="J755" s="377"/>
      <c r="K755" s="377"/>
      <c r="L755" s="383"/>
      <c r="M755" s="377"/>
      <c r="N755" s="377"/>
      <c r="O755" s="385">
        <v>0.3</v>
      </c>
      <c r="P755" s="377"/>
      <c r="Q755" s="377"/>
      <c r="R755" s="377"/>
      <c r="S755" s="377"/>
      <c r="T755" s="377">
        <f t="shared" si="257"/>
        <v>0</v>
      </c>
      <c r="U755" s="377"/>
      <c r="V755" s="376"/>
      <c r="W755" s="377"/>
      <c r="X755" s="377">
        <f t="shared" si="268"/>
        <v>0</v>
      </c>
      <c r="Y755" s="222">
        <f t="shared" si="265"/>
        <v>30000</v>
      </c>
      <c r="Z755" s="223">
        <f t="shared" si="262"/>
        <v>180000</v>
      </c>
    </row>
    <row r="756" spans="1:26" s="44" customFormat="1" ht="24" customHeight="1">
      <c r="A756" s="79">
        <v>15</v>
      </c>
      <c r="B756" s="66" t="s">
        <v>530</v>
      </c>
      <c r="C756" s="226"/>
      <c r="D756" s="226"/>
      <c r="E756" s="228">
        <f t="shared" si="267"/>
        <v>0.3</v>
      </c>
      <c r="F756" s="385"/>
      <c r="G756" s="376">
        <f t="shared" si="263"/>
        <v>0.3</v>
      </c>
      <c r="H756" s="377"/>
      <c r="I756" s="382"/>
      <c r="J756" s="377"/>
      <c r="K756" s="377"/>
      <c r="L756" s="383"/>
      <c r="M756" s="377"/>
      <c r="N756" s="377"/>
      <c r="O756" s="385">
        <v>0.3</v>
      </c>
      <c r="P756" s="377"/>
      <c r="Q756" s="377"/>
      <c r="R756" s="377"/>
      <c r="S756" s="377"/>
      <c r="T756" s="377">
        <f t="shared" si="257"/>
        <v>0</v>
      </c>
      <c r="U756" s="377"/>
      <c r="V756" s="376"/>
      <c r="W756" s="377"/>
      <c r="X756" s="377">
        <f t="shared" si="268"/>
        <v>0</v>
      </c>
      <c r="Y756" s="222">
        <f t="shared" si="265"/>
        <v>30000</v>
      </c>
      <c r="Z756" s="223">
        <f t="shared" si="262"/>
        <v>180000</v>
      </c>
    </row>
    <row r="757" spans="1:26" s="44" customFormat="1" ht="24" customHeight="1">
      <c r="A757" s="79">
        <v>16</v>
      </c>
      <c r="B757" s="66" t="s">
        <v>531</v>
      </c>
      <c r="C757" s="226"/>
      <c r="D757" s="226"/>
      <c r="E757" s="228">
        <f t="shared" si="267"/>
        <v>0.3</v>
      </c>
      <c r="F757" s="385"/>
      <c r="G757" s="376">
        <f t="shared" si="263"/>
        <v>0.3</v>
      </c>
      <c r="H757" s="377"/>
      <c r="I757" s="382"/>
      <c r="J757" s="377"/>
      <c r="K757" s="377"/>
      <c r="L757" s="383"/>
      <c r="M757" s="377"/>
      <c r="N757" s="377"/>
      <c r="O757" s="385">
        <v>0.3</v>
      </c>
      <c r="P757" s="377"/>
      <c r="Q757" s="377"/>
      <c r="R757" s="377"/>
      <c r="S757" s="377"/>
      <c r="T757" s="377">
        <f t="shared" si="257"/>
        <v>0</v>
      </c>
      <c r="U757" s="377"/>
      <c r="V757" s="376"/>
      <c r="W757" s="377"/>
      <c r="X757" s="377">
        <f t="shared" si="268"/>
        <v>0</v>
      </c>
      <c r="Y757" s="222">
        <f t="shared" si="265"/>
        <v>30000</v>
      </c>
      <c r="Z757" s="223">
        <f t="shared" si="262"/>
        <v>180000</v>
      </c>
    </row>
    <row r="758" spans="1:26" s="44" customFormat="1" ht="24" customHeight="1">
      <c r="A758" s="79">
        <v>17</v>
      </c>
      <c r="B758" s="66" t="s">
        <v>532</v>
      </c>
      <c r="C758" s="226"/>
      <c r="D758" s="226"/>
      <c r="E758" s="228">
        <f t="shared" si="267"/>
        <v>0.3</v>
      </c>
      <c r="F758" s="385"/>
      <c r="G758" s="376">
        <f t="shared" si="263"/>
        <v>0.3</v>
      </c>
      <c r="H758" s="377"/>
      <c r="I758" s="382"/>
      <c r="J758" s="377"/>
      <c r="K758" s="377"/>
      <c r="L758" s="383"/>
      <c r="M758" s="377"/>
      <c r="N758" s="377"/>
      <c r="O758" s="385">
        <v>0.3</v>
      </c>
      <c r="P758" s="377"/>
      <c r="Q758" s="377"/>
      <c r="R758" s="377"/>
      <c r="S758" s="377"/>
      <c r="T758" s="377">
        <f t="shared" si="257"/>
        <v>0</v>
      </c>
      <c r="U758" s="377"/>
      <c r="V758" s="376"/>
      <c r="W758" s="377"/>
      <c r="X758" s="377">
        <f t="shared" si="268"/>
        <v>0</v>
      </c>
      <c r="Y758" s="222">
        <f t="shared" si="265"/>
        <v>30000</v>
      </c>
      <c r="Z758" s="223">
        <f t="shared" si="262"/>
        <v>180000</v>
      </c>
    </row>
    <row r="759" spans="1:26" s="44" customFormat="1" ht="24" customHeight="1">
      <c r="A759" s="79">
        <v>18</v>
      </c>
      <c r="B759" s="66" t="s">
        <v>533</v>
      </c>
      <c r="C759" s="226"/>
      <c r="D759" s="226"/>
      <c r="E759" s="228">
        <f t="shared" si="267"/>
        <v>0.3</v>
      </c>
      <c r="F759" s="385"/>
      <c r="G759" s="376">
        <f t="shared" si="263"/>
        <v>0.3</v>
      </c>
      <c r="H759" s="377"/>
      <c r="I759" s="382"/>
      <c r="J759" s="377"/>
      <c r="K759" s="377"/>
      <c r="L759" s="383"/>
      <c r="M759" s="377"/>
      <c r="N759" s="377"/>
      <c r="O759" s="385">
        <v>0.3</v>
      </c>
      <c r="P759" s="377"/>
      <c r="Q759" s="377"/>
      <c r="R759" s="377"/>
      <c r="S759" s="377"/>
      <c r="T759" s="377">
        <f t="shared" si="257"/>
        <v>0</v>
      </c>
      <c r="U759" s="377"/>
      <c r="V759" s="376"/>
      <c r="W759" s="377"/>
      <c r="X759" s="377">
        <f t="shared" si="268"/>
        <v>0</v>
      </c>
      <c r="Y759" s="222">
        <f t="shared" si="265"/>
        <v>30000</v>
      </c>
      <c r="Z759" s="223">
        <f t="shared" si="262"/>
        <v>180000</v>
      </c>
    </row>
    <row r="760" spans="1:26" s="10" customFormat="1" ht="24" customHeight="1">
      <c r="A760" s="79">
        <v>19</v>
      </c>
      <c r="B760" s="66" t="s">
        <v>534</v>
      </c>
      <c r="C760" s="226"/>
      <c r="D760" s="226"/>
      <c r="E760" s="228">
        <f t="shared" si="267"/>
        <v>0.3</v>
      </c>
      <c r="F760" s="385"/>
      <c r="G760" s="376">
        <f t="shared" si="263"/>
        <v>0.3</v>
      </c>
      <c r="H760" s="377"/>
      <c r="I760" s="382"/>
      <c r="J760" s="377"/>
      <c r="K760" s="377"/>
      <c r="L760" s="383"/>
      <c r="M760" s="377"/>
      <c r="N760" s="377"/>
      <c r="O760" s="385">
        <v>0.3</v>
      </c>
      <c r="P760" s="377"/>
      <c r="Q760" s="377"/>
      <c r="R760" s="377"/>
      <c r="S760" s="377"/>
      <c r="T760" s="377">
        <f t="shared" si="257"/>
        <v>0</v>
      </c>
      <c r="U760" s="377"/>
      <c r="V760" s="376"/>
      <c r="W760" s="377"/>
      <c r="X760" s="377">
        <f t="shared" si="268"/>
        <v>0</v>
      </c>
      <c r="Y760" s="222">
        <f t="shared" si="265"/>
        <v>30000</v>
      </c>
      <c r="Z760" s="223">
        <f t="shared" si="262"/>
        <v>180000</v>
      </c>
    </row>
    <row r="761" spans="1:26" s="10" customFormat="1" ht="24" customHeight="1">
      <c r="A761" s="79">
        <v>20</v>
      </c>
      <c r="B761" s="66" t="s">
        <v>535</v>
      </c>
      <c r="C761" s="226"/>
      <c r="D761" s="226"/>
      <c r="E761" s="228">
        <f t="shared" si="267"/>
        <v>0.3</v>
      </c>
      <c r="F761" s="385"/>
      <c r="G761" s="376">
        <f t="shared" si="263"/>
        <v>0.3</v>
      </c>
      <c r="H761" s="377"/>
      <c r="I761" s="382"/>
      <c r="J761" s="377"/>
      <c r="K761" s="377"/>
      <c r="L761" s="383"/>
      <c r="M761" s="377"/>
      <c r="N761" s="377"/>
      <c r="O761" s="385">
        <v>0.3</v>
      </c>
      <c r="P761" s="377"/>
      <c r="Q761" s="377"/>
      <c r="R761" s="377"/>
      <c r="S761" s="377"/>
      <c r="T761" s="377">
        <f t="shared" si="257"/>
        <v>0</v>
      </c>
      <c r="U761" s="377"/>
      <c r="V761" s="376"/>
      <c r="W761" s="377"/>
      <c r="X761" s="377">
        <f t="shared" si="268"/>
        <v>0</v>
      </c>
      <c r="Y761" s="222">
        <f t="shared" si="265"/>
        <v>30000</v>
      </c>
      <c r="Z761" s="223">
        <f t="shared" si="262"/>
        <v>180000</v>
      </c>
    </row>
    <row r="762" spans="1:26" s="10" customFormat="1" ht="24" customHeight="1">
      <c r="A762" s="79">
        <v>21</v>
      </c>
      <c r="B762" s="66" t="s">
        <v>536</v>
      </c>
      <c r="C762" s="226"/>
      <c r="D762" s="226"/>
      <c r="E762" s="228">
        <f t="shared" si="267"/>
        <v>0.3</v>
      </c>
      <c r="F762" s="385"/>
      <c r="G762" s="376">
        <f t="shared" si="263"/>
        <v>0.3</v>
      </c>
      <c r="H762" s="377"/>
      <c r="I762" s="382"/>
      <c r="J762" s="377"/>
      <c r="K762" s="377"/>
      <c r="L762" s="383"/>
      <c r="M762" s="377"/>
      <c r="N762" s="377"/>
      <c r="O762" s="385">
        <v>0.3</v>
      </c>
      <c r="P762" s="377"/>
      <c r="Q762" s="377"/>
      <c r="R762" s="377"/>
      <c r="S762" s="377"/>
      <c r="T762" s="377">
        <f t="shared" si="257"/>
        <v>0</v>
      </c>
      <c r="U762" s="377"/>
      <c r="V762" s="376"/>
      <c r="W762" s="377"/>
      <c r="X762" s="377">
        <f t="shared" si="268"/>
        <v>0</v>
      </c>
      <c r="Y762" s="222">
        <f t="shared" si="265"/>
        <v>30000</v>
      </c>
      <c r="Z762" s="223">
        <f t="shared" si="262"/>
        <v>180000</v>
      </c>
    </row>
    <row r="763" spans="1:26" s="10" customFormat="1" ht="24" customHeight="1">
      <c r="A763" s="79">
        <v>22</v>
      </c>
      <c r="B763" s="66" t="s">
        <v>537</v>
      </c>
      <c r="C763" s="226"/>
      <c r="D763" s="226"/>
      <c r="E763" s="228">
        <f t="shared" si="267"/>
        <v>0.3</v>
      </c>
      <c r="F763" s="385"/>
      <c r="G763" s="376">
        <f t="shared" si="263"/>
        <v>0.3</v>
      </c>
      <c r="H763" s="377"/>
      <c r="I763" s="382"/>
      <c r="J763" s="377"/>
      <c r="K763" s="377"/>
      <c r="L763" s="383"/>
      <c r="M763" s="377"/>
      <c r="N763" s="377"/>
      <c r="O763" s="385">
        <v>0.3</v>
      </c>
      <c r="P763" s="377"/>
      <c r="Q763" s="377"/>
      <c r="R763" s="377"/>
      <c r="S763" s="377"/>
      <c r="T763" s="377">
        <f t="shared" si="257"/>
        <v>0</v>
      </c>
      <c r="U763" s="377"/>
      <c r="V763" s="376"/>
      <c r="W763" s="377"/>
      <c r="X763" s="377">
        <f t="shared" si="268"/>
        <v>0</v>
      </c>
      <c r="Y763" s="222">
        <f t="shared" si="265"/>
        <v>30000</v>
      </c>
      <c r="Z763" s="223">
        <f t="shared" si="262"/>
        <v>180000</v>
      </c>
    </row>
    <row r="764" spans="1:26" s="10" customFormat="1" ht="24" customHeight="1">
      <c r="A764" s="79">
        <v>23</v>
      </c>
      <c r="B764" s="66" t="s">
        <v>538</v>
      </c>
      <c r="C764" s="226"/>
      <c r="D764" s="226"/>
      <c r="E764" s="228">
        <f t="shared" si="267"/>
        <v>0.3</v>
      </c>
      <c r="F764" s="385"/>
      <c r="G764" s="376">
        <f t="shared" si="263"/>
        <v>0.3</v>
      </c>
      <c r="H764" s="377"/>
      <c r="I764" s="382"/>
      <c r="J764" s="377"/>
      <c r="K764" s="377"/>
      <c r="L764" s="383"/>
      <c r="M764" s="377"/>
      <c r="N764" s="377"/>
      <c r="O764" s="385">
        <v>0.3</v>
      </c>
      <c r="P764" s="377"/>
      <c r="Q764" s="377"/>
      <c r="R764" s="377"/>
      <c r="S764" s="377"/>
      <c r="T764" s="377">
        <f t="shared" si="257"/>
        <v>0</v>
      </c>
      <c r="U764" s="377"/>
      <c r="V764" s="376"/>
      <c r="W764" s="377"/>
      <c r="X764" s="377">
        <f t="shared" si="268"/>
        <v>0</v>
      </c>
      <c r="Y764" s="222">
        <f t="shared" si="265"/>
        <v>30000</v>
      </c>
      <c r="Z764" s="223">
        <f t="shared" si="262"/>
        <v>180000</v>
      </c>
    </row>
    <row r="765" spans="1:26" s="10" customFormat="1" ht="24" customHeight="1">
      <c r="A765" s="79">
        <v>24</v>
      </c>
      <c r="B765" s="66" t="s">
        <v>539</v>
      </c>
      <c r="C765" s="226"/>
      <c r="D765" s="226"/>
      <c r="E765" s="228">
        <f t="shared" si="267"/>
        <v>0.3</v>
      </c>
      <c r="F765" s="385"/>
      <c r="G765" s="376">
        <f t="shared" si="263"/>
        <v>0.3</v>
      </c>
      <c r="H765" s="377"/>
      <c r="I765" s="382"/>
      <c r="J765" s="377"/>
      <c r="K765" s="377"/>
      <c r="L765" s="383"/>
      <c r="M765" s="377"/>
      <c r="N765" s="377"/>
      <c r="O765" s="385">
        <v>0.3</v>
      </c>
      <c r="P765" s="377"/>
      <c r="Q765" s="377"/>
      <c r="R765" s="377"/>
      <c r="S765" s="377"/>
      <c r="T765" s="377">
        <f t="shared" si="257"/>
        <v>0</v>
      </c>
      <c r="U765" s="377"/>
      <c r="V765" s="376"/>
      <c r="W765" s="377"/>
      <c r="X765" s="377">
        <f t="shared" si="268"/>
        <v>0</v>
      </c>
      <c r="Y765" s="222">
        <f t="shared" si="265"/>
        <v>30000</v>
      </c>
      <c r="Z765" s="223">
        <f t="shared" si="262"/>
        <v>180000</v>
      </c>
    </row>
    <row r="766" spans="1:26" s="10" customFormat="1" ht="24" customHeight="1">
      <c r="A766" s="80" t="s">
        <v>65</v>
      </c>
      <c r="B766" s="240" t="s">
        <v>330</v>
      </c>
      <c r="C766" s="226"/>
      <c r="D766" s="226"/>
      <c r="E766" s="231">
        <f>SUM(E767:E778)</f>
        <v>3.5999999999999992</v>
      </c>
      <c r="F766" s="381">
        <f t="shared" ref="F766:Z766" si="269">SUM(F767:F778)</f>
        <v>0</v>
      </c>
      <c r="G766" s="381">
        <f t="shared" si="269"/>
        <v>3.5999999999999992</v>
      </c>
      <c r="H766" s="381">
        <f t="shared" si="269"/>
        <v>0</v>
      </c>
      <c r="I766" s="381">
        <f t="shared" si="269"/>
        <v>0</v>
      </c>
      <c r="J766" s="381">
        <f t="shared" si="269"/>
        <v>0</v>
      </c>
      <c r="K766" s="381">
        <f t="shared" si="269"/>
        <v>0</v>
      </c>
      <c r="L766" s="407">
        <f t="shared" si="269"/>
        <v>0</v>
      </c>
      <c r="M766" s="381">
        <f t="shared" si="269"/>
        <v>0</v>
      </c>
      <c r="N766" s="381">
        <f t="shared" si="269"/>
        <v>3.5999999999999992</v>
      </c>
      <c r="O766" s="381">
        <f t="shared" si="269"/>
        <v>0</v>
      </c>
      <c r="P766" s="381">
        <f t="shared" si="269"/>
        <v>0</v>
      </c>
      <c r="Q766" s="381">
        <f t="shared" si="269"/>
        <v>0</v>
      </c>
      <c r="R766" s="381">
        <f t="shared" si="269"/>
        <v>0</v>
      </c>
      <c r="S766" s="381">
        <f t="shared" si="269"/>
        <v>0</v>
      </c>
      <c r="T766" s="381">
        <f t="shared" si="269"/>
        <v>0</v>
      </c>
      <c r="U766" s="381">
        <f t="shared" si="269"/>
        <v>0</v>
      </c>
      <c r="V766" s="381">
        <f t="shared" si="269"/>
        <v>0</v>
      </c>
      <c r="W766" s="381">
        <f t="shared" si="269"/>
        <v>0</v>
      </c>
      <c r="X766" s="381">
        <f t="shared" si="269"/>
        <v>0</v>
      </c>
      <c r="Y766" s="236">
        <f t="shared" si="269"/>
        <v>360000</v>
      </c>
      <c r="Z766" s="236">
        <f t="shared" si="269"/>
        <v>2160000</v>
      </c>
    </row>
    <row r="767" spans="1:26" s="10" customFormat="1" ht="21.75" customHeight="1">
      <c r="A767" s="89">
        <v>1</v>
      </c>
      <c r="B767" s="66" t="s">
        <v>510</v>
      </c>
      <c r="C767" s="226"/>
      <c r="D767" s="226"/>
      <c r="E767" s="228">
        <f t="shared" ref="E767:E778" si="270">+F767+G767+X767</f>
        <v>0.3</v>
      </c>
      <c r="F767" s="385"/>
      <c r="G767" s="376">
        <f t="shared" si="263"/>
        <v>0.3</v>
      </c>
      <c r="H767" s="377"/>
      <c r="I767" s="382"/>
      <c r="J767" s="377"/>
      <c r="K767" s="377"/>
      <c r="L767" s="383"/>
      <c r="M767" s="377"/>
      <c r="N767" s="385">
        <v>0.3</v>
      </c>
      <c r="O767" s="382"/>
      <c r="P767" s="377"/>
      <c r="Q767" s="377"/>
      <c r="R767" s="377"/>
      <c r="S767" s="377"/>
      <c r="T767" s="377">
        <f t="shared" si="257"/>
        <v>0</v>
      </c>
      <c r="U767" s="377"/>
      <c r="V767" s="376"/>
      <c r="W767" s="377"/>
      <c r="X767" s="377">
        <f t="shared" ref="X767:X778" si="271">(F767+I767+J767+K767)*22.5/100</f>
        <v>0</v>
      </c>
      <c r="Y767" s="222">
        <f t="shared" si="265"/>
        <v>30000</v>
      </c>
      <c r="Z767" s="223">
        <f t="shared" si="262"/>
        <v>180000</v>
      </c>
    </row>
    <row r="768" spans="1:26" s="10" customFormat="1" ht="24" customHeight="1">
      <c r="A768" s="89"/>
      <c r="B768" s="66" t="s">
        <v>512</v>
      </c>
      <c r="C768" s="226"/>
      <c r="D768" s="226"/>
      <c r="E768" s="228">
        <f t="shared" si="270"/>
        <v>0.3</v>
      </c>
      <c r="F768" s="385"/>
      <c r="G768" s="376">
        <f t="shared" si="263"/>
        <v>0.3</v>
      </c>
      <c r="H768" s="377"/>
      <c r="I768" s="382"/>
      <c r="J768" s="377"/>
      <c r="K768" s="377"/>
      <c r="L768" s="383"/>
      <c r="M768" s="377"/>
      <c r="N768" s="385">
        <v>0.3</v>
      </c>
      <c r="O768" s="382"/>
      <c r="P768" s="377"/>
      <c r="Q768" s="377"/>
      <c r="R768" s="377"/>
      <c r="S768" s="377"/>
      <c r="T768" s="377">
        <f t="shared" si="257"/>
        <v>0</v>
      </c>
      <c r="U768" s="377"/>
      <c r="V768" s="376"/>
      <c r="W768" s="377"/>
      <c r="X768" s="377">
        <f t="shared" si="271"/>
        <v>0</v>
      </c>
      <c r="Y768" s="222">
        <f t="shared" si="265"/>
        <v>30000</v>
      </c>
      <c r="Z768" s="223">
        <f t="shared" si="262"/>
        <v>180000</v>
      </c>
    </row>
    <row r="769" spans="1:26" s="10" customFormat="1" ht="24" customHeight="1">
      <c r="A769" s="89">
        <v>2</v>
      </c>
      <c r="B769" s="66" t="s">
        <v>524</v>
      </c>
      <c r="C769" s="226"/>
      <c r="D769" s="226"/>
      <c r="E769" s="228">
        <f t="shared" si="270"/>
        <v>0.3</v>
      </c>
      <c r="F769" s="385"/>
      <c r="G769" s="376">
        <f t="shared" si="263"/>
        <v>0.3</v>
      </c>
      <c r="H769" s="377"/>
      <c r="I769" s="382"/>
      <c r="J769" s="377"/>
      <c r="K769" s="377"/>
      <c r="L769" s="383"/>
      <c r="M769" s="377"/>
      <c r="N769" s="385">
        <v>0.3</v>
      </c>
      <c r="O769" s="382"/>
      <c r="P769" s="377"/>
      <c r="Q769" s="377"/>
      <c r="R769" s="377"/>
      <c r="S769" s="377"/>
      <c r="T769" s="377">
        <f t="shared" si="257"/>
        <v>0</v>
      </c>
      <c r="U769" s="377"/>
      <c r="V769" s="376"/>
      <c r="W769" s="377"/>
      <c r="X769" s="377">
        <f t="shared" si="271"/>
        <v>0</v>
      </c>
      <c r="Y769" s="222">
        <f t="shared" si="265"/>
        <v>30000</v>
      </c>
      <c r="Z769" s="223">
        <f t="shared" si="262"/>
        <v>180000</v>
      </c>
    </row>
    <row r="770" spans="1:26" s="10" customFormat="1" ht="24" customHeight="1">
      <c r="A770" s="89">
        <v>3</v>
      </c>
      <c r="B770" s="66" t="s">
        <v>513</v>
      </c>
      <c r="C770" s="226"/>
      <c r="D770" s="226"/>
      <c r="E770" s="228">
        <f t="shared" si="270"/>
        <v>0.3</v>
      </c>
      <c r="F770" s="385"/>
      <c r="G770" s="376">
        <f t="shared" si="263"/>
        <v>0.3</v>
      </c>
      <c r="H770" s="377"/>
      <c r="I770" s="382"/>
      <c r="J770" s="377"/>
      <c r="K770" s="377"/>
      <c r="L770" s="383"/>
      <c r="M770" s="377"/>
      <c r="N770" s="385">
        <v>0.3</v>
      </c>
      <c r="O770" s="382"/>
      <c r="P770" s="377"/>
      <c r="Q770" s="377"/>
      <c r="R770" s="377"/>
      <c r="S770" s="377"/>
      <c r="T770" s="377">
        <f t="shared" si="257"/>
        <v>0</v>
      </c>
      <c r="U770" s="377"/>
      <c r="V770" s="376"/>
      <c r="W770" s="377"/>
      <c r="X770" s="377">
        <f t="shared" si="271"/>
        <v>0</v>
      </c>
      <c r="Y770" s="222">
        <f t="shared" si="265"/>
        <v>30000</v>
      </c>
      <c r="Z770" s="223">
        <f t="shared" si="262"/>
        <v>180000</v>
      </c>
    </row>
    <row r="771" spans="1:26" s="10" customFormat="1" ht="24" customHeight="1">
      <c r="A771" s="89">
        <v>4</v>
      </c>
      <c r="B771" s="66" t="s">
        <v>512</v>
      </c>
      <c r="C771" s="226"/>
      <c r="D771" s="226"/>
      <c r="E771" s="228">
        <f t="shared" si="270"/>
        <v>0.3</v>
      </c>
      <c r="F771" s="385"/>
      <c r="G771" s="376">
        <f>+SUM(H771:W771)</f>
        <v>0.3</v>
      </c>
      <c r="H771" s="377"/>
      <c r="I771" s="382"/>
      <c r="J771" s="377"/>
      <c r="K771" s="377"/>
      <c r="L771" s="383"/>
      <c r="M771" s="377"/>
      <c r="N771" s="385">
        <v>0.3</v>
      </c>
      <c r="O771" s="382"/>
      <c r="P771" s="377"/>
      <c r="Q771" s="377"/>
      <c r="R771" s="377"/>
      <c r="S771" s="377"/>
      <c r="T771" s="377">
        <f>(F771+I771+J771)*25/100</f>
        <v>0</v>
      </c>
      <c r="U771" s="377"/>
      <c r="V771" s="376"/>
      <c r="W771" s="377"/>
      <c r="X771" s="377">
        <f t="shared" si="271"/>
        <v>0</v>
      </c>
      <c r="Y771" s="222">
        <f t="shared" si="265"/>
        <v>30000</v>
      </c>
      <c r="Z771" s="223">
        <f t="shared" si="262"/>
        <v>180000</v>
      </c>
    </row>
    <row r="772" spans="1:26" s="10" customFormat="1" ht="24" customHeight="1">
      <c r="A772" s="89">
        <v>5</v>
      </c>
      <c r="B772" s="66" t="s">
        <v>527</v>
      </c>
      <c r="C772" s="226"/>
      <c r="D772" s="226"/>
      <c r="E772" s="228">
        <f t="shared" si="270"/>
        <v>0.3</v>
      </c>
      <c r="F772" s="385"/>
      <c r="G772" s="376">
        <f t="shared" si="263"/>
        <v>0.3</v>
      </c>
      <c r="H772" s="377"/>
      <c r="I772" s="382"/>
      <c r="J772" s="377"/>
      <c r="K772" s="377"/>
      <c r="L772" s="383"/>
      <c r="M772" s="377"/>
      <c r="N772" s="385">
        <v>0.3</v>
      </c>
      <c r="O772" s="382"/>
      <c r="P772" s="377"/>
      <c r="Q772" s="377"/>
      <c r="R772" s="377"/>
      <c r="S772" s="377"/>
      <c r="T772" s="377">
        <f t="shared" si="257"/>
        <v>0</v>
      </c>
      <c r="U772" s="377"/>
      <c r="V772" s="376"/>
      <c r="W772" s="377"/>
      <c r="X772" s="377">
        <f t="shared" si="271"/>
        <v>0</v>
      </c>
      <c r="Y772" s="222">
        <f t="shared" si="265"/>
        <v>30000</v>
      </c>
      <c r="Z772" s="223">
        <f t="shared" si="262"/>
        <v>180000</v>
      </c>
    </row>
    <row r="773" spans="1:26" s="10" customFormat="1" ht="24" customHeight="1">
      <c r="A773" s="89">
        <v>6</v>
      </c>
      <c r="B773" s="66" t="s">
        <v>515</v>
      </c>
      <c r="C773" s="226"/>
      <c r="D773" s="226"/>
      <c r="E773" s="228">
        <f t="shared" si="270"/>
        <v>0.3</v>
      </c>
      <c r="F773" s="385"/>
      <c r="G773" s="376">
        <f t="shared" si="263"/>
        <v>0.3</v>
      </c>
      <c r="H773" s="377"/>
      <c r="I773" s="382"/>
      <c r="J773" s="377"/>
      <c r="K773" s="377"/>
      <c r="L773" s="383"/>
      <c r="M773" s="377"/>
      <c r="N773" s="385">
        <v>0.3</v>
      </c>
      <c r="O773" s="382"/>
      <c r="P773" s="377"/>
      <c r="Q773" s="377"/>
      <c r="R773" s="377"/>
      <c r="S773" s="377"/>
      <c r="T773" s="377">
        <f t="shared" si="257"/>
        <v>0</v>
      </c>
      <c r="U773" s="377"/>
      <c r="V773" s="376"/>
      <c r="W773" s="377"/>
      <c r="X773" s="377">
        <f t="shared" si="271"/>
        <v>0</v>
      </c>
      <c r="Y773" s="222">
        <f t="shared" si="265"/>
        <v>30000</v>
      </c>
      <c r="Z773" s="223">
        <f t="shared" si="262"/>
        <v>180000</v>
      </c>
    </row>
    <row r="774" spans="1:26" s="10" customFormat="1" ht="24" customHeight="1">
      <c r="A774" s="89">
        <v>7</v>
      </c>
      <c r="B774" s="66" t="s">
        <v>520</v>
      </c>
      <c r="C774" s="226"/>
      <c r="D774" s="226"/>
      <c r="E774" s="228">
        <f t="shared" si="270"/>
        <v>0.3</v>
      </c>
      <c r="F774" s="385"/>
      <c r="G774" s="376">
        <f t="shared" si="263"/>
        <v>0.3</v>
      </c>
      <c r="H774" s="377"/>
      <c r="I774" s="382"/>
      <c r="J774" s="377"/>
      <c r="K774" s="377"/>
      <c r="L774" s="383"/>
      <c r="M774" s="377"/>
      <c r="N774" s="385">
        <v>0.3</v>
      </c>
      <c r="O774" s="382"/>
      <c r="P774" s="377"/>
      <c r="Q774" s="377"/>
      <c r="R774" s="377"/>
      <c r="S774" s="377"/>
      <c r="T774" s="377">
        <f t="shared" si="257"/>
        <v>0</v>
      </c>
      <c r="U774" s="377"/>
      <c r="V774" s="376"/>
      <c r="W774" s="377"/>
      <c r="X774" s="377">
        <f t="shared" si="271"/>
        <v>0</v>
      </c>
      <c r="Y774" s="222">
        <f t="shared" si="265"/>
        <v>30000</v>
      </c>
      <c r="Z774" s="223">
        <f t="shared" si="262"/>
        <v>180000</v>
      </c>
    </row>
    <row r="775" spans="1:26" s="10" customFormat="1" ht="24" customHeight="1">
      <c r="A775" s="89">
        <v>8</v>
      </c>
      <c r="B775" s="66" t="s">
        <v>529</v>
      </c>
      <c r="C775" s="226"/>
      <c r="D775" s="226"/>
      <c r="E775" s="228">
        <f t="shared" si="270"/>
        <v>0.3</v>
      </c>
      <c r="F775" s="385"/>
      <c r="G775" s="376">
        <f t="shared" si="263"/>
        <v>0.3</v>
      </c>
      <c r="H775" s="377"/>
      <c r="I775" s="382"/>
      <c r="J775" s="377"/>
      <c r="K775" s="377"/>
      <c r="L775" s="383"/>
      <c r="M775" s="377"/>
      <c r="N775" s="385">
        <v>0.3</v>
      </c>
      <c r="O775" s="382"/>
      <c r="P775" s="377"/>
      <c r="Q775" s="377"/>
      <c r="R775" s="377"/>
      <c r="S775" s="377"/>
      <c r="T775" s="377">
        <f t="shared" si="257"/>
        <v>0</v>
      </c>
      <c r="U775" s="377"/>
      <c r="V775" s="376"/>
      <c r="W775" s="377"/>
      <c r="X775" s="377">
        <f t="shared" si="271"/>
        <v>0</v>
      </c>
      <c r="Y775" s="222">
        <f t="shared" si="265"/>
        <v>30000</v>
      </c>
      <c r="Z775" s="223">
        <f t="shared" si="262"/>
        <v>180000</v>
      </c>
    </row>
    <row r="776" spans="1:26" s="10" customFormat="1" ht="24" customHeight="1">
      <c r="A776" s="89">
        <v>9</v>
      </c>
      <c r="B776" s="66" t="s">
        <v>516</v>
      </c>
      <c r="C776" s="226"/>
      <c r="D776" s="226"/>
      <c r="E776" s="228">
        <f t="shared" si="270"/>
        <v>0.3</v>
      </c>
      <c r="F776" s="385"/>
      <c r="G776" s="376">
        <f t="shared" si="263"/>
        <v>0.3</v>
      </c>
      <c r="H776" s="377"/>
      <c r="I776" s="382"/>
      <c r="J776" s="377"/>
      <c r="K776" s="377"/>
      <c r="L776" s="383"/>
      <c r="M776" s="377"/>
      <c r="N776" s="385">
        <v>0.3</v>
      </c>
      <c r="O776" s="382"/>
      <c r="P776" s="377"/>
      <c r="Q776" s="377"/>
      <c r="R776" s="377"/>
      <c r="S776" s="377"/>
      <c r="T776" s="377">
        <f t="shared" si="257"/>
        <v>0</v>
      </c>
      <c r="U776" s="377"/>
      <c r="V776" s="376"/>
      <c r="W776" s="377"/>
      <c r="X776" s="377">
        <f t="shared" si="271"/>
        <v>0</v>
      </c>
      <c r="Y776" s="222">
        <f t="shared" si="265"/>
        <v>30000</v>
      </c>
      <c r="Z776" s="223">
        <f t="shared" si="262"/>
        <v>180000</v>
      </c>
    </row>
    <row r="777" spans="1:26" s="10" customFormat="1" ht="24" customHeight="1">
      <c r="A777" s="89">
        <v>10</v>
      </c>
      <c r="B777" s="66" t="s">
        <v>532</v>
      </c>
      <c r="C777" s="226"/>
      <c r="D777" s="226"/>
      <c r="E777" s="228">
        <f t="shared" si="270"/>
        <v>0.3</v>
      </c>
      <c r="F777" s="385"/>
      <c r="G777" s="376">
        <f t="shared" si="263"/>
        <v>0.3</v>
      </c>
      <c r="H777" s="377"/>
      <c r="I777" s="382"/>
      <c r="J777" s="377"/>
      <c r="K777" s="377"/>
      <c r="L777" s="383"/>
      <c r="M777" s="377"/>
      <c r="N777" s="385">
        <v>0.3</v>
      </c>
      <c r="O777" s="382"/>
      <c r="P777" s="377"/>
      <c r="Q777" s="377"/>
      <c r="R777" s="377"/>
      <c r="S777" s="377"/>
      <c r="T777" s="377">
        <f t="shared" si="257"/>
        <v>0</v>
      </c>
      <c r="U777" s="377"/>
      <c r="V777" s="376"/>
      <c r="W777" s="377"/>
      <c r="X777" s="377">
        <f t="shared" si="271"/>
        <v>0</v>
      </c>
      <c r="Y777" s="222">
        <f t="shared" si="265"/>
        <v>30000</v>
      </c>
      <c r="Z777" s="223">
        <f t="shared" si="262"/>
        <v>180000</v>
      </c>
    </row>
    <row r="778" spans="1:26" s="10" customFormat="1" ht="24" customHeight="1">
      <c r="A778" s="89">
        <v>11</v>
      </c>
      <c r="B778" s="66" t="s">
        <v>533</v>
      </c>
      <c r="C778" s="226"/>
      <c r="D778" s="226"/>
      <c r="E778" s="228">
        <f t="shared" si="270"/>
        <v>0.3</v>
      </c>
      <c r="F778" s="385"/>
      <c r="G778" s="376">
        <f t="shared" si="263"/>
        <v>0.3</v>
      </c>
      <c r="H778" s="377"/>
      <c r="I778" s="382"/>
      <c r="J778" s="377"/>
      <c r="K778" s="377"/>
      <c r="L778" s="383"/>
      <c r="M778" s="377"/>
      <c r="N778" s="385">
        <v>0.3</v>
      </c>
      <c r="O778" s="382"/>
      <c r="P778" s="377"/>
      <c r="Q778" s="377"/>
      <c r="R778" s="377"/>
      <c r="S778" s="377"/>
      <c r="T778" s="377">
        <f t="shared" si="257"/>
        <v>0</v>
      </c>
      <c r="U778" s="377"/>
      <c r="V778" s="376"/>
      <c r="W778" s="377"/>
      <c r="X778" s="377">
        <f t="shared" si="271"/>
        <v>0</v>
      </c>
      <c r="Y778" s="222">
        <f t="shared" si="265"/>
        <v>30000</v>
      </c>
      <c r="Z778" s="223">
        <f t="shared" si="262"/>
        <v>180000</v>
      </c>
    </row>
    <row r="779" spans="1:26" s="10" customFormat="1" ht="24" customHeight="1">
      <c r="A779" s="80" t="s">
        <v>617</v>
      </c>
      <c r="B779" s="45" t="s">
        <v>540</v>
      </c>
      <c r="C779" s="229">
        <v>23</v>
      </c>
      <c r="D779" s="229">
        <v>17</v>
      </c>
      <c r="E779" s="231">
        <f t="shared" ref="E779:Z779" si="272">E780+E791+E799+E805+E808+E818</f>
        <v>125.22075000000001</v>
      </c>
      <c r="F779" s="381">
        <f t="shared" si="272"/>
        <v>87.46</v>
      </c>
      <c r="G779" s="381">
        <f t="shared" si="272"/>
        <v>27.093499999999995</v>
      </c>
      <c r="H779" s="381">
        <f t="shared" si="272"/>
        <v>0</v>
      </c>
      <c r="I779" s="381">
        <f t="shared" si="272"/>
        <v>1.9499999999999995</v>
      </c>
      <c r="J779" s="381">
        <f t="shared" si="272"/>
        <v>0</v>
      </c>
      <c r="K779" s="381">
        <f t="shared" si="272"/>
        <v>0</v>
      </c>
      <c r="L779" s="381">
        <f t="shared" si="272"/>
        <v>2.6909999999999998</v>
      </c>
      <c r="M779" s="381">
        <f t="shared" si="272"/>
        <v>0</v>
      </c>
      <c r="N779" s="381">
        <f t="shared" si="272"/>
        <v>2.6999999999999997</v>
      </c>
      <c r="O779" s="381">
        <f t="shared" si="272"/>
        <v>7.7999999999999972</v>
      </c>
      <c r="P779" s="381">
        <f t="shared" si="272"/>
        <v>0</v>
      </c>
      <c r="Q779" s="381">
        <f t="shared" si="272"/>
        <v>0</v>
      </c>
      <c r="R779" s="381">
        <f t="shared" si="272"/>
        <v>0</v>
      </c>
      <c r="S779" s="381">
        <f t="shared" si="272"/>
        <v>0</v>
      </c>
      <c r="T779" s="381">
        <f t="shared" si="272"/>
        <v>11.852499999999999</v>
      </c>
      <c r="U779" s="381">
        <f t="shared" si="272"/>
        <v>0</v>
      </c>
      <c r="V779" s="381">
        <f t="shared" si="272"/>
        <v>0.1</v>
      </c>
      <c r="W779" s="381">
        <f t="shared" si="272"/>
        <v>0</v>
      </c>
      <c r="X779" s="381">
        <f t="shared" si="272"/>
        <v>10.667249999999999</v>
      </c>
      <c r="Y779" s="232">
        <f t="shared" si="272"/>
        <v>12522075</v>
      </c>
      <c r="Z779" s="232">
        <f t="shared" si="272"/>
        <v>75132450</v>
      </c>
    </row>
    <row r="780" spans="1:26" s="10" customFormat="1" ht="24" customHeight="1">
      <c r="A780" s="27" t="s">
        <v>2</v>
      </c>
      <c r="B780" s="59" t="s">
        <v>138</v>
      </c>
      <c r="C780" s="280"/>
      <c r="D780" s="280"/>
      <c r="E780" s="218">
        <f>SUM(E781:E790)</f>
        <v>45.569250000000004</v>
      </c>
      <c r="F780" s="63">
        <f>SUM(F781:F790)</f>
        <v>27.119999999999997</v>
      </c>
      <c r="G780" s="63">
        <f t="shared" ref="G780:X780" si="273">SUM(G781:G790)</f>
        <v>11.9085</v>
      </c>
      <c r="H780" s="63">
        <f t="shared" si="273"/>
        <v>0</v>
      </c>
      <c r="I780" s="63">
        <f t="shared" si="273"/>
        <v>1.9499999999999995</v>
      </c>
      <c r="J780" s="63">
        <f t="shared" si="273"/>
        <v>0</v>
      </c>
      <c r="K780" s="63">
        <f t="shared" si="273"/>
        <v>0</v>
      </c>
      <c r="L780" s="424">
        <f t="shared" si="273"/>
        <v>2.6909999999999998</v>
      </c>
      <c r="M780" s="63">
        <f t="shared" si="273"/>
        <v>0</v>
      </c>
      <c r="N780" s="63">
        <f t="shared" si="273"/>
        <v>0</v>
      </c>
      <c r="O780" s="63">
        <f t="shared" si="273"/>
        <v>0</v>
      </c>
      <c r="P780" s="63">
        <f t="shared" si="273"/>
        <v>0</v>
      </c>
      <c r="Q780" s="63">
        <f t="shared" si="273"/>
        <v>0</v>
      </c>
      <c r="R780" s="63">
        <f t="shared" si="273"/>
        <v>0</v>
      </c>
      <c r="S780" s="63">
        <f t="shared" si="273"/>
        <v>0</v>
      </c>
      <c r="T780" s="63">
        <f t="shared" si="273"/>
        <v>7.2674999999999992</v>
      </c>
      <c r="U780" s="63">
        <f t="shared" si="273"/>
        <v>0</v>
      </c>
      <c r="V780" s="63">
        <f t="shared" si="273"/>
        <v>0</v>
      </c>
      <c r="W780" s="63">
        <f t="shared" si="273"/>
        <v>0</v>
      </c>
      <c r="X780" s="63">
        <f t="shared" si="273"/>
        <v>6.5407500000000001</v>
      </c>
      <c r="Y780" s="219">
        <f>SUM(Y781:Y790)</f>
        <v>4556925</v>
      </c>
      <c r="Z780" s="219">
        <f>SUM(Z781:Z790)</f>
        <v>27341550</v>
      </c>
    </row>
    <row r="781" spans="1:26" s="10" customFormat="1" ht="24" customHeight="1">
      <c r="A781" s="48" t="s">
        <v>20</v>
      </c>
      <c r="B781" s="49" t="s">
        <v>559</v>
      </c>
      <c r="C781" s="281"/>
      <c r="D781" s="281"/>
      <c r="E781" s="228">
        <f t="shared" ref="E781:E789" si="274">+F781+G781+X781</f>
        <v>5.3542499999999995</v>
      </c>
      <c r="F781" s="425">
        <v>3.33</v>
      </c>
      <c r="G781" s="376">
        <f t="shared" ref="G781:G807" si="275">+SUM(H781:W781)</f>
        <v>1.2075</v>
      </c>
      <c r="H781" s="376"/>
      <c r="I781" s="426">
        <v>0.3</v>
      </c>
      <c r="J781" s="406"/>
      <c r="K781" s="406"/>
      <c r="L781" s="427"/>
      <c r="M781" s="376"/>
      <c r="N781" s="428"/>
      <c r="O781" s="429"/>
      <c r="P781" s="376"/>
      <c r="Q781" s="376"/>
      <c r="R781" s="376"/>
      <c r="S781" s="376"/>
      <c r="T781" s="376">
        <f t="shared" ref="T781:T798" si="276">(F781+I781+J781)*25/100</f>
        <v>0.90749999999999997</v>
      </c>
      <c r="U781" s="376"/>
      <c r="V781" s="376"/>
      <c r="W781" s="376"/>
      <c r="X781" s="376">
        <f t="shared" ref="X781:X790" si="277">(F781+I781+J781+K781)*22.5/100</f>
        <v>0.81674999999999998</v>
      </c>
      <c r="Y781" s="222">
        <f t="shared" si="265"/>
        <v>535425</v>
      </c>
      <c r="Z781" s="223">
        <f t="shared" si="262"/>
        <v>3212550</v>
      </c>
    </row>
    <row r="782" spans="1:26" s="10" customFormat="1" ht="24" customHeight="1">
      <c r="A782" s="48" t="s">
        <v>140</v>
      </c>
      <c r="B782" s="49" t="s">
        <v>560</v>
      </c>
      <c r="C782" s="281"/>
      <c r="D782" s="281"/>
      <c r="E782" s="228">
        <f t="shared" si="274"/>
        <v>3.6284999999999998</v>
      </c>
      <c r="F782" s="425">
        <v>2.2599999999999998</v>
      </c>
      <c r="G782" s="376">
        <f t="shared" si="275"/>
        <v>0.81499999999999995</v>
      </c>
      <c r="H782" s="376"/>
      <c r="I782" s="430">
        <v>0.2</v>
      </c>
      <c r="J782" s="406"/>
      <c r="K782" s="406"/>
      <c r="L782" s="427"/>
      <c r="M782" s="376"/>
      <c r="N782" s="428"/>
      <c r="O782" s="428"/>
      <c r="P782" s="376"/>
      <c r="Q782" s="376"/>
      <c r="R782" s="376"/>
      <c r="S782" s="376"/>
      <c r="T782" s="376">
        <f t="shared" si="276"/>
        <v>0.61499999999999999</v>
      </c>
      <c r="U782" s="376"/>
      <c r="V782" s="376"/>
      <c r="W782" s="376"/>
      <c r="X782" s="376">
        <f t="shared" si="277"/>
        <v>0.55349999999999999</v>
      </c>
      <c r="Y782" s="222">
        <f t="shared" si="265"/>
        <v>362850</v>
      </c>
      <c r="Z782" s="223">
        <f t="shared" si="262"/>
        <v>2177100</v>
      </c>
    </row>
    <row r="783" spans="1:26" s="10" customFormat="1" ht="24" customHeight="1">
      <c r="A783" s="48" t="s">
        <v>21</v>
      </c>
      <c r="B783" s="49" t="s">
        <v>561</v>
      </c>
      <c r="C783" s="281"/>
      <c r="D783" s="281"/>
      <c r="E783" s="228">
        <f t="shared" si="274"/>
        <v>4.72</v>
      </c>
      <c r="F783" s="425">
        <v>3</v>
      </c>
      <c r="G783" s="376">
        <f t="shared" si="275"/>
        <v>1</v>
      </c>
      <c r="H783" s="376"/>
      <c r="I783" s="430">
        <v>0.2</v>
      </c>
      <c r="J783" s="406"/>
      <c r="K783" s="406"/>
      <c r="L783" s="427"/>
      <c r="M783" s="376"/>
      <c r="N783" s="428"/>
      <c r="O783" s="428"/>
      <c r="P783" s="376"/>
      <c r="Q783" s="376"/>
      <c r="R783" s="376"/>
      <c r="S783" s="376"/>
      <c r="T783" s="376">
        <f t="shared" si="276"/>
        <v>0.8</v>
      </c>
      <c r="U783" s="376"/>
      <c r="V783" s="376"/>
      <c r="W783" s="376"/>
      <c r="X783" s="376">
        <f t="shared" si="277"/>
        <v>0.72</v>
      </c>
      <c r="Y783" s="222">
        <f t="shared" si="265"/>
        <v>472000</v>
      </c>
      <c r="Z783" s="223">
        <f t="shared" si="262"/>
        <v>2832000</v>
      </c>
    </row>
    <row r="784" spans="1:26" s="10" customFormat="1" ht="24" customHeight="1">
      <c r="A784" s="48" t="s">
        <v>22</v>
      </c>
      <c r="B784" s="49" t="s">
        <v>562</v>
      </c>
      <c r="C784" s="281"/>
      <c r="D784" s="281"/>
      <c r="E784" s="228">
        <f t="shared" si="274"/>
        <v>4.2185000000000006</v>
      </c>
      <c r="F784" s="425">
        <v>2.66</v>
      </c>
      <c r="G784" s="376">
        <f t="shared" si="275"/>
        <v>0.91500000000000026</v>
      </c>
      <c r="H784" s="376"/>
      <c r="I784" s="426">
        <v>0.2</v>
      </c>
      <c r="J784" s="406"/>
      <c r="K784" s="406"/>
      <c r="L784" s="427"/>
      <c r="M784" s="376"/>
      <c r="N784" s="428"/>
      <c r="O784" s="429"/>
      <c r="P784" s="376"/>
      <c r="Q784" s="376"/>
      <c r="R784" s="376"/>
      <c r="S784" s="376"/>
      <c r="T784" s="376">
        <f t="shared" si="276"/>
        <v>0.71500000000000019</v>
      </c>
      <c r="U784" s="376"/>
      <c r="V784" s="376"/>
      <c r="W784" s="376"/>
      <c r="X784" s="376">
        <f t="shared" si="277"/>
        <v>0.64350000000000007</v>
      </c>
      <c r="Y784" s="222">
        <f t="shared" si="265"/>
        <v>421850.00000000006</v>
      </c>
      <c r="Z784" s="223">
        <f t="shared" si="262"/>
        <v>2531100.0000000005</v>
      </c>
    </row>
    <row r="785" spans="1:26" s="10" customFormat="1" ht="24" customHeight="1">
      <c r="A785" s="48" t="s">
        <v>12</v>
      </c>
      <c r="B785" s="46" t="s">
        <v>563</v>
      </c>
      <c r="C785" s="281"/>
      <c r="D785" s="281"/>
      <c r="E785" s="228">
        <f t="shared" si="274"/>
        <v>3.6727499999999997</v>
      </c>
      <c r="F785" s="431">
        <v>2.34</v>
      </c>
      <c r="G785" s="376">
        <f t="shared" si="275"/>
        <v>0.77249999999999996</v>
      </c>
      <c r="H785" s="376"/>
      <c r="I785" s="426">
        <v>0.15</v>
      </c>
      <c r="J785" s="406"/>
      <c r="K785" s="406"/>
      <c r="L785" s="427"/>
      <c r="M785" s="376"/>
      <c r="N785" s="428"/>
      <c r="O785" s="429"/>
      <c r="P785" s="376"/>
      <c r="Q785" s="376"/>
      <c r="R785" s="376"/>
      <c r="S785" s="376"/>
      <c r="T785" s="376">
        <f t="shared" si="276"/>
        <v>0.62249999999999994</v>
      </c>
      <c r="U785" s="376"/>
      <c r="V785" s="376"/>
      <c r="W785" s="376"/>
      <c r="X785" s="376">
        <f t="shared" si="277"/>
        <v>0.56024999999999991</v>
      </c>
      <c r="Y785" s="222">
        <f t="shared" si="265"/>
        <v>367275</v>
      </c>
      <c r="Z785" s="223">
        <f t="shared" si="262"/>
        <v>2203650</v>
      </c>
    </row>
    <row r="786" spans="1:26" s="10" customFormat="1" ht="24" customHeight="1">
      <c r="A786" s="48" t="s">
        <v>36</v>
      </c>
      <c r="B786" s="56" t="s">
        <v>574</v>
      </c>
      <c r="C786" s="282"/>
      <c r="D786" s="282"/>
      <c r="E786" s="228">
        <f>+F786+G786+X786</f>
        <v>3.1057500000000005</v>
      </c>
      <c r="F786" s="432">
        <v>1.86</v>
      </c>
      <c r="G786" s="376">
        <f>+SUM(H786:W786)</f>
        <v>0.79350000000000009</v>
      </c>
      <c r="H786" s="377"/>
      <c r="I786" s="426">
        <v>0.15</v>
      </c>
      <c r="J786" s="388"/>
      <c r="K786" s="388"/>
      <c r="L786" s="433">
        <v>0.14099999999999999</v>
      </c>
      <c r="M786" s="377"/>
      <c r="N786" s="434"/>
      <c r="O786" s="435"/>
      <c r="P786" s="377"/>
      <c r="Q786" s="377"/>
      <c r="R786" s="377"/>
      <c r="S786" s="377"/>
      <c r="T786" s="376">
        <f t="shared" si="276"/>
        <v>0.50250000000000006</v>
      </c>
      <c r="U786" s="377"/>
      <c r="V786" s="376"/>
      <c r="W786" s="377"/>
      <c r="X786" s="376">
        <f t="shared" si="277"/>
        <v>0.4522500000000001</v>
      </c>
      <c r="Y786" s="222">
        <f>E786*100000</f>
        <v>310575.00000000006</v>
      </c>
      <c r="Z786" s="223">
        <f>Y786*6</f>
        <v>1863450.0000000005</v>
      </c>
    </row>
    <row r="787" spans="1:26" s="10" customFormat="1" ht="24" customHeight="1">
      <c r="A787" s="48" t="s">
        <v>37</v>
      </c>
      <c r="B787" s="49" t="s">
        <v>564</v>
      </c>
      <c r="C787" s="281"/>
      <c r="D787" s="281"/>
      <c r="E787" s="228">
        <f t="shared" si="274"/>
        <v>4.9612499999999997</v>
      </c>
      <c r="F787" s="431">
        <v>3</v>
      </c>
      <c r="G787" s="376">
        <f t="shared" si="275"/>
        <v>1.2524999999999999</v>
      </c>
      <c r="H787" s="376"/>
      <c r="I787" s="430">
        <v>0.15</v>
      </c>
      <c r="J787" s="406"/>
      <c r="K787" s="406"/>
      <c r="L787" s="433">
        <v>0.315</v>
      </c>
      <c r="M787" s="376"/>
      <c r="N787" s="428"/>
      <c r="O787" s="428"/>
      <c r="P787" s="376"/>
      <c r="Q787" s="376"/>
      <c r="R787" s="376"/>
      <c r="S787" s="376"/>
      <c r="T787" s="376">
        <f t="shared" si="276"/>
        <v>0.78749999999999998</v>
      </c>
      <c r="U787" s="376"/>
      <c r="V787" s="376"/>
      <c r="W787" s="376"/>
      <c r="X787" s="376">
        <f t="shared" si="277"/>
        <v>0.70874999999999999</v>
      </c>
      <c r="Y787" s="222">
        <f t="shared" si="265"/>
        <v>496125</v>
      </c>
      <c r="Z787" s="223">
        <f t="shared" si="262"/>
        <v>2976750</v>
      </c>
    </row>
    <row r="788" spans="1:26" s="10" customFormat="1" ht="24" customHeight="1">
      <c r="A788" s="48" t="s">
        <v>146</v>
      </c>
      <c r="B788" s="49" t="s">
        <v>565</v>
      </c>
      <c r="C788" s="281"/>
      <c r="D788" s="281"/>
      <c r="E788" s="228">
        <f t="shared" si="274"/>
        <v>3.6727499999999997</v>
      </c>
      <c r="F788" s="431">
        <v>2.34</v>
      </c>
      <c r="G788" s="376">
        <f t="shared" si="275"/>
        <v>0.77249999999999996</v>
      </c>
      <c r="H788" s="376"/>
      <c r="I788" s="430">
        <v>0.15</v>
      </c>
      <c r="J788" s="406"/>
      <c r="K788" s="406"/>
      <c r="L788" s="433"/>
      <c r="M788" s="376"/>
      <c r="N788" s="428"/>
      <c r="O788" s="428"/>
      <c r="P788" s="376"/>
      <c r="Q788" s="376"/>
      <c r="R788" s="376"/>
      <c r="S788" s="376"/>
      <c r="T788" s="376">
        <f t="shared" si="276"/>
        <v>0.62249999999999994</v>
      </c>
      <c r="U788" s="376"/>
      <c r="V788" s="376"/>
      <c r="W788" s="376"/>
      <c r="X788" s="376">
        <f t="shared" si="277"/>
        <v>0.56024999999999991</v>
      </c>
      <c r="Y788" s="222">
        <f t="shared" si="265"/>
        <v>367275</v>
      </c>
      <c r="Z788" s="223">
        <f t="shared" si="262"/>
        <v>2203650</v>
      </c>
    </row>
    <row r="789" spans="1:26" s="10" customFormat="1" ht="24" customHeight="1">
      <c r="A789" s="48" t="s">
        <v>148</v>
      </c>
      <c r="B789" s="49" t="s">
        <v>566</v>
      </c>
      <c r="C789" s="280"/>
      <c r="D789" s="280"/>
      <c r="E789" s="283">
        <f t="shared" si="274"/>
        <v>7.1955000000000009</v>
      </c>
      <c r="F789" s="431">
        <v>3.33</v>
      </c>
      <c r="G789" s="436">
        <f t="shared" si="275"/>
        <v>3.06</v>
      </c>
      <c r="H789" s="436"/>
      <c r="I789" s="437">
        <v>0.25</v>
      </c>
      <c r="J789" s="406"/>
      <c r="K789" s="406"/>
      <c r="L789" s="433">
        <f>F789*0.5+0.25</f>
        <v>1.915</v>
      </c>
      <c r="M789" s="376"/>
      <c r="N789" s="428"/>
      <c r="O789" s="428"/>
      <c r="P789" s="376"/>
      <c r="Q789" s="376"/>
      <c r="R789" s="376"/>
      <c r="S789" s="376"/>
      <c r="T789" s="376">
        <f t="shared" si="276"/>
        <v>0.89500000000000002</v>
      </c>
      <c r="U789" s="376"/>
      <c r="V789" s="376"/>
      <c r="W789" s="376"/>
      <c r="X789" s="376">
        <f t="shared" si="277"/>
        <v>0.80549999999999999</v>
      </c>
      <c r="Y789" s="222">
        <f t="shared" si="265"/>
        <v>719550.00000000012</v>
      </c>
      <c r="Z789" s="223">
        <f t="shared" si="262"/>
        <v>4317300.0000000009</v>
      </c>
    </row>
    <row r="790" spans="1:26" s="10" customFormat="1" ht="24" customHeight="1">
      <c r="A790" s="48" t="s">
        <v>150</v>
      </c>
      <c r="B790" s="46" t="s">
        <v>588</v>
      </c>
      <c r="C790" s="280"/>
      <c r="D790" s="280"/>
      <c r="E790" s="283">
        <f>+F790+G790+X790</f>
        <v>5.04</v>
      </c>
      <c r="F790" s="431">
        <v>3</v>
      </c>
      <c r="G790" s="436">
        <f>+SUM(H790:W790)</f>
        <v>1.32</v>
      </c>
      <c r="H790" s="436"/>
      <c r="I790" s="437">
        <v>0.2</v>
      </c>
      <c r="J790" s="406"/>
      <c r="K790" s="406"/>
      <c r="L790" s="433">
        <v>0.32</v>
      </c>
      <c r="M790" s="376"/>
      <c r="N790" s="428"/>
      <c r="O790" s="428"/>
      <c r="P790" s="376"/>
      <c r="Q790" s="376"/>
      <c r="R790" s="376"/>
      <c r="S790" s="376"/>
      <c r="T790" s="376">
        <f t="shared" si="276"/>
        <v>0.8</v>
      </c>
      <c r="U790" s="376"/>
      <c r="V790" s="376"/>
      <c r="W790" s="376"/>
      <c r="X790" s="376">
        <f t="shared" si="277"/>
        <v>0.72</v>
      </c>
      <c r="Y790" s="222">
        <f t="shared" si="265"/>
        <v>504000</v>
      </c>
      <c r="Z790" s="223">
        <f t="shared" si="262"/>
        <v>3024000</v>
      </c>
    </row>
    <row r="791" spans="1:26" s="10" customFormat="1" ht="24" customHeight="1">
      <c r="A791" s="65" t="s">
        <v>3</v>
      </c>
      <c r="B791" s="55" t="s">
        <v>152</v>
      </c>
      <c r="C791" s="219"/>
      <c r="D791" s="219"/>
      <c r="E791" s="218">
        <f>SUM(E792:E798)</f>
        <v>27.151499999999999</v>
      </c>
      <c r="F791" s="63">
        <f t="shared" ref="F791:Z791" si="278">SUM(F792:F798)</f>
        <v>18.34</v>
      </c>
      <c r="G791" s="63">
        <f t="shared" si="278"/>
        <v>4.6849999999999996</v>
      </c>
      <c r="H791" s="63">
        <f t="shared" si="278"/>
        <v>0</v>
      </c>
      <c r="I791" s="63">
        <f t="shared" si="278"/>
        <v>0</v>
      </c>
      <c r="J791" s="63">
        <f t="shared" si="278"/>
        <v>0</v>
      </c>
      <c r="K791" s="63">
        <f t="shared" si="278"/>
        <v>0</v>
      </c>
      <c r="L791" s="63">
        <f t="shared" si="278"/>
        <v>0</v>
      </c>
      <c r="M791" s="63">
        <f t="shared" si="278"/>
        <v>0</v>
      </c>
      <c r="N791" s="63">
        <f t="shared" si="278"/>
        <v>0</v>
      </c>
      <c r="O791" s="63">
        <f t="shared" si="278"/>
        <v>0</v>
      </c>
      <c r="P791" s="63">
        <f t="shared" si="278"/>
        <v>0</v>
      </c>
      <c r="Q791" s="63">
        <f t="shared" si="278"/>
        <v>0</v>
      </c>
      <c r="R791" s="63">
        <f t="shared" si="278"/>
        <v>0</v>
      </c>
      <c r="S791" s="63">
        <f t="shared" si="278"/>
        <v>0</v>
      </c>
      <c r="T791" s="63">
        <f t="shared" si="278"/>
        <v>4.585</v>
      </c>
      <c r="U791" s="63">
        <f t="shared" si="278"/>
        <v>0</v>
      </c>
      <c r="V791" s="63">
        <f t="shared" si="278"/>
        <v>0.1</v>
      </c>
      <c r="W791" s="63">
        <f t="shared" si="278"/>
        <v>0</v>
      </c>
      <c r="X791" s="63">
        <f t="shared" si="278"/>
        <v>4.1265000000000001</v>
      </c>
      <c r="Y791" s="219">
        <f t="shared" si="278"/>
        <v>2715150</v>
      </c>
      <c r="Z791" s="219">
        <f t="shared" si="278"/>
        <v>16290900</v>
      </c>
    </row>
    <row r="792" spans="1:26" s="10" customFormat="1" ht="24" customHeight="1">
      <c r="A792" s="48" t="s">
        <v>20</v>
      </c>
      <c r="B792" s="49" t="s">
        <v>567</v>
      </c>
      <c r="C792" s="220"/>
      <c r="D792" s="220"/>
      <c r="E792" s="228">
        <f t="shared" ref="E792:E798" si="279">+F792+G792+X792</f>
        <v>3.93825</v>
      </c>
      <c r="F792" s="438">
        <v>2.67</v>
      </c>
      <c r="G792" s="376">
        <f t="shared" si="275"/>
        <v>0.66749999999999998</v>
      </c>
      <c r="H792" s="377"/>
      <c r="I792" s="439"/>
      <c r="J792" s="377"/>
      <c r="K792" s="377"/>
      <c r="L792" s="440"/>
      <c r="M792" s="377"/>
      <c r="N792" s="435"/>
      <c r="O792" s="435"/>
      <c r="P792" s="377"/>
      <c r="Q792" s="377"/>
      <c r="R792" s="377"/>
      <c r="S792" s="377"/>
      <c r="T792" s="377">
        <f t="shared" si="276"/>
        <v>0.66749999999999998</v>
      </c>
      <c r="U792" s="377"/>
      <c r="V792" s="376"/>
      <c r="W792" s="377"/>
      <c r="X792" s="377">
        <f t="shared" ref="X792:X798" si="280">(F792+I792+J792+K792)*22.5/100</f>
        <v>0.60075000000000001</v>
      </c>
      <c r="Y792" s="222">
        <f t="shared" si="265"/>
        <v>393825</v>
      </c>
      <c r="Z792" s="223">
        <f t="shared" si="262"/>
        <v>2362950</v>
      </c>
    </row>
    <row r="793" spans="1:26" s="10" customFormat="1" ht="24" customHeight="1">
      <c r="A793" s="48" t="s">
        <v>140</v>
      </c>
      <c r="B793" s="49" t="s">
        <v>568</v>
      </c>
      <c r="C793" s="220"/>
      <c r="D793" s="220"/>
      <c r="E793" s="228">
        <f t="shared" si="279"/>
        <v>4.0382499999999997</v>
      </c>
      <c r="F793" s="438">
        <v>2.67</v>
      </c>
      <c r="G793" s="376">
        <f t="shared" si="275"/>
        <v>0.76749999999999996</v>
      </c>
      <c r="H793" s="377"/>
      <c r="I793" s="439"/>
      <c r="J793" s="377"/>
      <c r="K793" s="377"/>
      <c r="L793" s="440"/>
      <c r="M793" s="377"/>
      <c r="N793" s="435"/>
      <c r="O793" s="435"/>
      <c r="P793" s="377"/>
      <c r="Q793" s="377"/>
      <c r="R793" s="377"/>
      <c r="S793" s="377"/>
      <c r="T793" s="377">
        <f t="shared" si="276"/>
        <v>0.66749999999999998</v>
      </c>
      <c r="U793" s="377"/>
      <c r="V793" s="376">
        <v>0.1</v>
      </c>
      <c r="W793" s="377"/>
      <c r="X793" s="377">
        <f t="shared" si="280"/>
        <v>0.60075000000000001</v>
      </c>
      <c r="Y793" s="222">
        <f t="shared" si="265"/>
        <v>403824.99999999994</v>
      </c>
      <c r="Z793" s="223">
        <f t="shared" si="262"/>
        <v>2422949.9999999995</v>
      </c>
    </row>
    <row r="794" spans="1:26" s="10" customFormat="1" ht="24" customHeight="1">
      <c r="A794" s="48" t="s">
        <v>21</v>
      </c>
      <c r="B794" s="49" t="s">
        <v>569</v>
      </c>
      <c r="C794" s="220"/>
      <c r="D794" s="220"/>
      <c r="E794" s="228">
        <f t="shared" si="279"/>
        <v>3.9235000000000002</v>
      </c>
      <c r="F794" s="438">
        <v>2.66</v>
      </c>
      <c r="G794" s="376">
        <f t="shared" si="275"/>
        <v>0.66500000000000004</v>
      </c>
      <c r="H794" s="377"/>
      <c r="I794" s="439"/>
      <c r="J794" s="377"/>
      <c r="K794" s="377"/>
      <c r="L794" s="440"/>
      <c r="M794" s="377"/>
      <c r="N794" s="435"/>
      <c r="O794" s="435"/>
      <c r="P794" s="377"/>
      <c r="Q794" s="377"/>
      <c r="R794" s="377"/>
      <c r="S794" s="377"/>
      <c r="T794" s="377">
        <f t="shared" si="276"/>
        <v>0.66500000000000004</v>
      </c>
      <c r="U794" s="377"/>
      <c r="V794" s="376"/>
      <c r="W794" s="377"/>
      <c r="X794" s="377">
        <f t="shared" si="280"/>
        <v>0.59850000000000003</v>
      </c>
      <c r="Y794" s="222">
        <f t="shared" si="265"/>
        <v>392350</v>
      </c>
      <c r="Z794" s="223">
        <f t="shared" ref="Z794:Z844" si="281">Y794*6</f>
        <v>2354100</v>
      </c>
    </row>
    <row r="795" spans="1:26" s="10" customFormat="1" ht="24" customHeight="1">
      <c r="A795" s="48" t="s">
        <v>22</v>
      </c>
      <c r="B795" s="49" t="s">
        <v>570</v>
      </c>
      <c r="C795" s="220"/>
      <c r="D795" s="220"/>
      <c r="E795" s="228">
        <f t="shared" si="279"/>
        <v>3.9235000000000002</v>
      </c>
      <c r="F795" s="438">
        <v>2.66</v>
      </c>
      <c r="G795" s="376">
        <f t="shared" si="275"/>
        <v>0.66500000000000004</v>
      </c>
      <c r="H795" s="377"/>
      <c r="I795" s="439"/>
      <c r="J795" s="377"/>
      <c r="K795" s="377"/>
      <c r="L795" s="440"/>
      <c r="M795" s="377"/>
      <c r="N795" s="435"/>
      <c r="O795" s="439"/>
      <c r="P795" s="377"/>
      <c r="Q795" s="377"/>
      <c r="R795" s="377"/>
      <c r="S795" s="377"/>
      <c r="T795" s="377">
        <f t="shared" si="276"/>
        <v>0.66500000000000004</v>
      </c>
      <c r="U795" s="377"/>
      <c r="V795" s="376"/>
      <c r="W795" s="377"/>
      <c r="X795" s="377">
        <f t="shared" si="280"/>
        <v>0.59850000000000003</v>
      </c>
      <c r="Y795" s="222">
        <f t="shared" si="265"/>
        <v>392350</v>
      </c>
      <c r="Z795" s="223">
        <f t="shared" si="281"/>
        <v>2354100</v>
      </c>
    </row>
    <row r="796" spans="1:26" s="10" customFormat="1" ht="24" customHeight="1">
      <c r="A796" s="48" t="s">
        <v>12</v>
      </c>
      <c r="B796" s="49" t="s">
        <v>571</v>
      </c>
      <c r="C796" s="220"/>
      <c r="D796" s="220"/>
      <c r="E796" s="228">
        <f t="shared" si="279"/>
        <v>4.4249999999999998</v>
      </c>
      <c r="F796" s="438">
        <v>3</v>
      </c>
      <c r="G796" s="376">
        <f t="shared" si="275"/>
        <v>0.75</v>
      </c>
      <c r="H796" s="377"/>
      <c r="I796" s="439"/>
      <c r="J796" s="377"/>
      <c r="K796" s="377"/>
      <c r="L796" s="440"/>
      <c r="M796" s="377"/>
      <c r="N796" s="435"/>
      <c r="O796" s="439"/>
      <c r="P796" s="377"/>
      <c r="Q796" s="377"/>
      <c r="R796" s="377"/>
      <c r="S796" s="377"/>
      <c r="T796" s="377">
        <f t="shared" si="276"/>
        <v>0.75</v>
      </c>
      <c r="U796" s="377"/>
      <c r="V796" s="376"/>
      <c r="W796" s="377"/>
      <c r="X796" s="377">
        <f t="shared" si="280"/>
        <v>0.67500000000000004</v>
      </c>
      <c r="Y796" s="222">
        <f t="shared" si="265"/>
        <v>442500</v>
      </c>
      <c r="Z796" s="223">
        <f t="shared" si="281"/>
        <v>2655000</v>
      </c>
    </row>
    <row r="797" spans="1:26" s="10" customFormat="1" ht="24" customHeight="1">
      <c r="A797" s="48" t="s">
        <v>36</v>
      </c>
      <c r="B797" s="49" t="s">
        <v>572</v>
      </c>
      <c r="C797" s="220"/>
      <c r="D797" s="220"/>
      <c r="E797" s="228">
        <f t="shared" si="279"/>
        <v>3.4514999999999998</v>
      </c>
      <c r="F797" s="379">
        <v>2.34</v>
      </c>
      <c r="G797" s="376">
        <f t="shared" si="275"/>
        <v>0.58499999999999996</v>
      </c>
      <c r="H797" s="377"/>
      <c r="I797" s="439"/>
      <c r="J797" s="377"/>
      <c r="K797" s="377"/>
      <c r="L797" s="440"/>
      <c r="M797" s="377"/>
      <c r="N797" s="435"/>
      <c r="O797" s="439"/>
      <c r="P797" s="377"/>
      <c r="Q797" s="377"/>
      <c r="R797" s="377"/>
      <c r="S797" s="377"/>
      <c r="T797" s="377">
        <f t="shared" si="276"/>
        <v>0.58499999999999996</v>
      </c>
      <c r="U797" s="377"/>
      <c r="V797" s="376"/>
      <c r="W797" s="377"/>
      <c r="X797" s="377">
        <f t="shared" si="280"/>
        <v>0.52649999999999997</v>
      </c>
      <c r="Y797" s="222">
        <f t="shared" si="265"/>
        <v>345150</v>
      </c>
      <c r="Z797" s="223">
        <f t="shared" si="281"/>
        <v>2070900</v>
      </c>
    </row>
    <row r="798" spans="1:26" s="10" customFormat="1" ht="24" customHeight="1">
      <c r="A798" s="48" t="s">
        <v>37</v>
      </c>
      <c r="B798" s="49" t="s">
        <v>573</v>
      </c>
      <c r="C798" s="220"/>
      <c r="D798" s="220"/>
      <c r="E798" s="228">
        <f t="shared" si="279"/>
        <v>3.4514999999999998</v>
      </c>
      <c r="F798" s="379">
        <v>2.34</v>
      </c>
      <c r="G798" s="376">
        <f t="shared" si="275"/>
        <v>0.58499999999999996</v>
      </c>
      <c r="H798" s="377"/>
      <c r="I798" s="439"/>
      <c r="J798" s="377"/>
      <c r="K798" s="377"/>
      <c r="L798" s="440"/>
      <c r="M798" s="377"/>
      <c r="N798" s="435"/>
      <c r="O798" s="439"/>
      <c r="P798" s="377"/>
      <c r="Q798" s="377"/>
      <c r="R798" s="377"/>
      <c r="S798" s="377"/>
      <c r="T798" s="377">
        <f t="shared" si="276"/>
        <v>0.58499999999999996</v>
      </c>
      <c r="U798" s="377"/>
      <c r="V798" s="376"/>
      <c r="W798" s="377"/>
      <c r="X798" s="377">
        <f t="shared" si="280"/>
        <v>0.52649999999999997</v>
      </c>
      <c r="Y798" s="222">
        <f t="shared" si="265"/>
        <v>345150</v>
      </c>
      <c r="Z798" s="223">
        <f t="shared" si="281"/>
        <v>2070900</v>
      </c>
    </row>
    <row r="799" spans="1:26" s="10" customFormat="1" ht="24" customHeight="1">
      <c r="A799" s="116" t="s">
        <v>4</v>
      </c>
      <c r="B799" s="117" t="s">
        <v>166</v>
      </c>
      <c r="C799" s="219"/>
      <c r="D799" s="220"/>
      <c r="E799" s="231">
        <f>SUM(E800:E804)</f>
        <v>5</v>
      </c>
      <c r="F799" s="381">
        <f>SUM(F800:F804)</f>
        <v>5</v>
      </c>
      <c r="G799" s="381">
        <f t="shared" ref="G799:Z799" si="282">SUM(G800:G804)</f>
        <v>0</v>
      </c>
      <c r="H799" s="381">
        <f t="shared" si="282"/>
        <v>0</v>
      </c>
      <c r="I799" s="381">
        <f t="shared" si="282"/>
        <v>0</v>
      </c>
      <c r="J799" s="381">
        <f t="shared" si="282"/>
        <v>0</v>
      </c>
      <c r="K799" s="381">
        <f t="shared" si="282"/>
        <v>0</v>
      </c>
      <c r="L799" s="381">
        <f t="shared" si="282"/>
        <v>0</v>
      </c>
      <c r="M799" s="381">
        <f t="shared" si="282"/>
        <v>0</v>
      </c>
      <c r="N799" s="381">
        <f t="shared" si="282"/>
        <v>0</v>
      </c>
      <c r="O799" s="381">
        <f t="shared" si="282"/>
        <v>0</v>
      </c>
      <c r="P799" s="381">
        <f t="shared" si="282"/>
        <v>0</v>
      </c>
      <c r="Q799" s="381">
        <f t="shared" si="282"/>
        <v>0</v>
      </c>
      <c r="R799" s="381">
        <f t="shared" si="282"/>
        <v>0</v>
      </c>
      <c r="S799" s="381">
        <f t="shared" si="282"/>
        <v>0</v>
      </c>
      <c r="T799" s="381">
        <f t="shared" si="282"/>
        <v>0</v>
      </c>
      <c r="U799" s="381">
        <f t="shared" si="282"/>
        <v>0</v>
      </c>
      <c r="V799" s="381">
        <f t="shared" si="282"/>
        <v>0</v>
      </c>
      <c r="W799" s="381">
        <f t="shared" si="282"/>
        <v>0</v>
      </c>
      <c r="X799" s="381">
        <f t="shared" si="282"/>
        <v>0</v>
      </c>
      <c r="Y799" s="232">
        <f t="shared" si="282"/>
        <v>500000</v>
      </c>
      <c r="Z799" s="232">
        <f t="shared" si="282"/>
        <v>3000000</v>
      </c>
    </row>
    <row r="800" spans="1:26" s="10" customFormat="1" ht="24" customHeight="1">
      <c r="A800" s="13">
        <v>1</v>
      </c>
      <c r="B800" s="56" t="s">
        <v>575</v>
      </c>
      <c r="C800" s="282"/>
      <c r="D800" s="282"/>
      <c r="E800" s="228">
        <f>+F800+G800+X800</f>
        <v>1</v>
      </c>
      <c r="F800" s="43">
        <v>1</v>
      </c>
      <c r="G800" s="376">
        <f t="shared" si="275"/>
        <v>0</v>
      </c>
      <c r="H800" s="377"/>
      <c r="I800" s="434"/>
      <c r="J800" s="377"/>
      <c r="K800" s="377"/>
      <c r="L800" s="440"/>
      <c r="M800" s="377"/>
      <c r="N800" s="434"/>
      <c r="O800" s="435"/>
      <c r="P800" s="377"/>
      <c r="Q800" s="377"/>
      <c r="R800" s="377"/>
      <c r="S800" s="377"/>
      <c r="T800" s="377"/>
      <c r="U800" s="377"/>
      <c r="V800" s="376"/>
      <c r="W800" s="377"/>
      <c r="X800" s="377"/>
      <c r="Y800" s="222">
        <f t="shared" si="265"/>
        <v>100000</v>
      </c>
      <c r="Z800" s="223">
        <f t="shared" si="281"/>
        <v>600000</v>
      </c>
    </row>
    <row r="801" spans="1:26" s="10" customFormat="1" ht="24" customHeight="1">
      <c r="A801" s="13">
        <v>2</v>
      </c>
      <c r="B801" s="56" t="s">
        <v>576</v>
      </c>
      <c r="C801" s="282"/>
      <c r="D801" s="282"/>
      <c r="E801" s="228">
        <f>+F801+G801+X801</f>
        <v>1</v>
      </c>
      <c r="F801" s="43">
        <v>1</v>
      </c>
      <c r="G801" s="376">
        <f t="shared" si="275"/>
        <v>0</v>
      </c>
      <c r="H801" s="377"/>
      <c r="I801" s="434"/>
      <c r="J801" s="377"/>
      <c r="K801" s="377"/>
      <c r="L801" s="440"/>
      <c r="M801" s="377"/>
      <c r="N801" s="434"/>
      <c r="O801" s="434"/>
      <c r="P801" s="377"/>
      <c r="Q801" s="377"/>
      <c r="R801" s="377"/>
      <c r="S801" s="377"/>
      <c r="T801" s="377"/>
      <c r="U801" s="377"/>
      <c r="V801" s="376"/>
      <c r="W801" s="377"/>
      <c r="X801" s="377"/>
      <c r="Y801" s="222">
        <f t="shared" si="265"/>
        <v>100000</v>
      </c>
      <c r="Z801" s="223">
        <f t="shared" si="281"/>
        <v>600000</v>
      </c>
    </row>
    <row r="802" spans="1:26" s="10" customFormat="1" ht="24" customHeight="1">
      <c r="A802" s="13">
        <v>3</v>
      </c>
      <c r="B802" s="56" t="s">
        <v>577</v>
      </c>
      <c r="C802" s="282"/>
      <c r="D802" s="282"/>
      <c r="E802" s="228">
        <f>+F802+G802+X802</f>
        <v>1</v>
      </c>
      <c r="F802" s="43">
        <v>1</v>
      </c>
      <c r="G802" s="376">
        <f t="shared" si="275"/>
        <v>0</v>
      </c>
      <c r="H802" s="377"/>
      <c r="I802" s="434"/>
      <c r="J802" s="377"/>
      <c r="K802" s="377"/>
      <c r="L802" s="440"/>
      <c r="M802" s="377"/>
      <c r="N802" s="434"/>
      <c r="O802" s="434"/>
      <c r="P802" s="377"/>
      <c r="Q802" s="377"/>
      <c r="R802" s="377"/>
      <c r="S802" s="377"/>
      <c r="T802" s="377"/>
      <c r="U802" s="377"/>
      <c r="V802" s="376"/>
      <c r="W802" s="377"/>
      <c r="X802" s="377"/>
      <c r="Y802" s="222">
        <f t="shared" si="265"/>
        <v>100000</v>
      </c>
      <c r="Z802" s="223">
        <f t="shared" si="281"/>
        <v>600000</v>
      </c>
    </row>
    <row r="803" spans="1:26" s="10" customFormat="1" ht="24" customHeight="1">
      <c r="A803" s="13">
        <v>4</v>
      </c>
      <c r="B803" s="56" t="s">
        <v>578</v>
      </c>
      <c r="C803" s="282"/>
      <c r="D803" s="282"/>
      <c r="E803" s="228">
        <f>+F803+G803+X803</f>
        <v>1</v>
      </c>
      <c r="F803" s="43">
        <v>1</v>
      </c>
      <c r="G803" s="376">
        <f t="shared" si="275"/>
        <v>0</v>
      </c>
      <c r="H803" s="377"/>
      <c r="I803" s="434"/>
      <c r="J803" s="377"/>
      <c r="K803" s="377"/>
      <c r="L803" s="440"/>
      <c r="M803" s="377"/>
      <c r="N803" s="434"/>
      <c r="O803" s="434"/>
      <c r="P803" s="377"/>
      <c r="Q803" s="377"/>
      <c r="R803" s="377"/>
      <c r="S803" s="377"/>
      <c r="T803" s="377"/>
      <c r="U803" s="377"/>
      <c r="V803" s="376"/>
      <c r="W803" s="377"/>
      <c r="X803" s="377"/>
      <c r="Y803" s="222">
        <f t="shared" ref="Y803:Y844" si="283">E803*100000</f>
        <v>100000</v>
      </c>
      <c r="Z803" s="223">
        <f t="shared" si="281"/>
        <v>600000</v>
      </c>
    </row>
    <row r="804" spans="1:26" s="10" customFormat="1" ht="24" customHeight="1">
      <c r="A804" s="13">
        <v>5</v>
      </c>
      <c r="B804" s="56" t="s">
        <v>579</v>
      </c>
      <c r="C804" s="282"/>
      <c r="D804" s="282"/>
      <c r="E804" s="228">
        <f>+F804+G804+X804</f>
        <v>1</v>
      </c>
      <c r="F804" s="43">
        <v>1</v>
      </c>
      <c r="G804" s="376">
        <f t="shared" si="275"/>
        <v>0</v>
      </c>
      <c r="H804" s="377"/>
      <c r="I804" s="434"/>
      <c r="J804" s="377"/>
      <c r="K804" s="377"/>
      <c r="L804" s="440"/>
      <c r="M804" s="377"/>
      <c r="N804" s="434"/>
      <c r="O804" s="434"/>
      <c r="P804" s="377"/>
      <c r="Q804" s="377"/>
      <c r="R804" s="377"/>
      <c r="S804" s="377"/>
      <c r="T804" s="377"/>
      <c r="U804" s="377"/>
      <c r="V804" s="376"/>
      <c r="W804" s="377"/>
      <c r="X804" s="377"/>
      <c r="Y804" s="222">
        <f t="shared" si="283"/>
        <v>100000</v>
      </c>
      <c r="Z804" s="223">
        <f t="shared" si="281"/>
        <v>600000</v>
      </c>
    </row>
    <row r="805" spans="1:26" s="10" customFormat="1" ht="33" customHeight="1">
      <c r="A805" s="65" t="s">
        <v>59</v>
      </c>
      <c r="B805" s="240" t="s">
        <v>332</v>
      </c>
      <c r="C805" s="219"/>
      <c r="D805" s="282"/>
      <c r="E805" s="230">
        <f>E806+E807</f>
        <v>37</v>
      </c>
      <c r="F805" s="380">
        <f>F806+F807</f>
        <v>37</v>
      </c>
      <c r="G805" s="380">
        <f t="shared" ref="G805:Z805" si="284">G806+G807</f>
        <v>0</v>
      </c>
      <c r="H805" s="380">
        <f t="shared" si="284"/>
        <v>0</v>
      </c>
      <c r="I805" s="380">
        <f t="shared" si="284"/>
        <v>0</v>
      </c>
      <c r="J805" s="380">
        <f t="shared" si="284"/>
        <v>0</v>
      </c>
      <c r="K805" s="380">
        <f t="shared" si="284"/>
        <v>0</v>
      </c>
      <c r="L805" s="380">
        <f t="shared" si="284"/>
        <v>0</v>
      </c>
      <c r="M805" s="380">
        <f t="shared" si="284"/>
        <v>0</v>
      </c>
      <c r="N805" s="380">
        <f t="shared" si="284"/>
        <v>0</v>
      </c>
      <c r="O805" s="380">
        <f t="shared" si="284"/>
        <v>0</v>
      </c>
      <c r="P805" s="380">
        <f t="shared" si="284"/>
        <v>0</v>
      </c>
      <c r="Q805" s="380">
        <f t="shared" si="284"/>
        <v>0</v>
      </c>
      <c r="R805" s="380">
        <f t="shared" si="284"/>
        <v>0</v>
      </c>
      <c r="S805" s="380">
        <f t="shared" si="284"/>
        <v>0</v>
      </c>
      <c r="T805" s="380">
        <f t="shared" si="284"/>
        <v>0</v>
      </c>
      <c r="U805" s="380">
        <f t="shared" si="284"/>
        <v>0</v>
      </c>
      <c r="V805" s="380">
        <f t="shared" si="284"/>
        <v>0</v>
      </c>
      <c r="W805" s="380">
        <f t="shared" si="284"/>
        <v>0</v>
      </c>
      <c r="X805" s="380">
        <f t="shared" si="284"/>
        <v>0</v>
      </c>
      <c r="Y805" s="229">
        <f t="shared" si="284"/>
        <v>3700000</v>
      </c>
      <c r="Z805" s="229">
        <f t="shared" si="284"/>
        <v>22200000</v>
      </c>
    </row>
    <row r="806" spans="1:26" s="10" customFormat="1" ht="24" customHeight="1">
      <c r="A806" s="48" t="s">
        <v>20</v>
      </c>
      <c r="B806" s="243" t="s">
        <v>170</v>
      </c>
      <c r="C806" s="219">
        <v>14</v>
      </c>
      <c r="D806" s="282"/>
      <c r="E806" s="228">
        <f>+F806+G806+X806</f>
        <v>16</v>
      </c>
      <c r="F806" s="384">
        <v>16</v>
      </c>
      <c r="G806" s="376">
        <f t="shared" si="275"/>
        <v>0</v>
      </c>
      <c r="H806" s="377"/>
      <c r="I806" s="434"/>
      <c r="J806" s="377"/>
      <c r="K806" s="377"/>
      <c r="L806" s="440"/>
      <c r="M806" s="377"/>
      <c r="N806" s="434"/>
      <c r="O806" s="435"/>
      <c r="P806" s="377"/>
      <c r="Q806" s="377"/>
      <c r="R806" s="377"/>
      <c r="S806" s="377"/>
      <c r="T806" s="377"/>
      <c r="U806" s="377"/>
      <c r="V806" s="376"/>
      <c r="W806" s="377"/>
      <c r="X806" s="377"/>
      <c r="Y806" s="222">
        <f t="shared" si="283"/>
        <v>1600000</v>
      </c>
      <c r="Z806" s="223">
        <f t="shared" si="281"/>
        <v>9600000</v>
      </c>
    </row>
    <row r="807" spans="1:26" s="10" customFormat="1" ht="24" customHeight="1">
      <c r="A807" s="48" t="s">
        <v>140</v>
      </c>
      <c r="B807" s="243" t="s">
        <v>608</v>
      </c>
      <c r="C807" s="219">
        <v>15</v>
      </c>
      <c r="D807" s="282"/>
      <c r="E807" s="228">
        <f>+F807+G807+X807</f>
        <v>21</v>
      </c>
      <c r="F807" s="384">
        <f>3*5+2*3</f>
        <v>21</v>
      </c>
      <c r="G807" s="376">
        <f t="shared" si="275"/>
        <v>0</v>
      </c>
      <c r="H807" s="377"/>
      <c r="I807" s="434"/>
      <c r="J807" s="377"/>
      <c r="K807" s="377"/>
      <c r="L807" s="440"/>
      <c r="M807" s="377"/>
      <c r="N807" s="434"/>
      <c r="O807" s="435"/>
      <c r="P807" s="377"/>
      <c r="Q807" s="377"/>
      <c r="R807" s="377"/>
      <c r="S807" s="377"/>
      <c r="T807" s="377"/>
      <c r="U807" s="377"/>
      <c r="V807" s="376"/>
      <c r="W807" s="377"/>
      <c r="X807" s="377"/>
      <c r="Y807" s="222">
        <f t="shared" si="283"/>
        <v>2100000</v>
      </c>
      <c r="Z807" s="223">
        <f t="shared" si="281"/>
        <v>12600000</v>
      </c>
    </row>
    <row r="808" spans="1:26" ht="24" customHeight="1">
      <c r="A808" s="61" t="s">
        <v>65</v>
      </c>
      <c r="B808" s="108" t="s">
        <v>589</v>
      </c>
      <c r="C808" s="284"/>
      <c r="D808" s="285"/>
      <c r="E808" s="286">
        <f>SUM(E809:E817)</f>
        <v>2.6999999999999997</v>
      </c>
      <c r="F808" s="441">
        <f t="shared" ref="F808:Z808" si="285">SUM(F809:F817)</f>
        <v>0</v>
      </c>
      <c r="G808" s="441">
        <f t="shared" si="285"/>
        <v>2.6999999999999997</v>
      </c>
      <c r="H808" s="441">
        <f t="shared" si="285"/>
        <v>0</v>
      </c>
      <c r="I808" s="441">
        <f t="shared" si="285"/>
        <v>0</v>
      </c>
      <c r="J808" s="441">
        <f t="shared" si="285"/>
        <v>0</v>
      </c>
      <c r="K808" s="441">
        <f t="shared" si="285"/>
        <v>0</v>
      </c>
      <c r="L808" s="441">
        <f t="shared" si="285"/>
        <v>0</v>
      </c>
      <c r="M808" s="441">
        <f t="shared" si="285"/>
        <v>0</v>
      </c>
      <c r="N808" s="441">
        <f t="shared" si="285"/>
        <v>2.6999999999999997</v>
      </c>
      <c r="O808" s="441">
        <f t="shared" si="285"/>
        <v>0</v>
      </c>
      <c r="P808" s="441">
        <f t="shared" si="285"/>
        <v>0</v>
      </c>
      <c r="Q808" s="441">
        <f t="shared" si="285"/>
        <v>0</v>
      </c>
      <c r="R808" s="441">
        <f t="shared" si="285"/>
        <v>0</v>
      </c>
      <c r="S808" s="441">
        <f t="shared" si="285"/>
        <v>0</v>
      </c>
      <c r="T808" s="441">
        <f t="shared" si="285"/>
        <v>0</v>
      </c>
      <c r="U808" s="441">
        <f t="shared" si="285"/>
        <v>0</v>
      </c>
      <c r="V808" s="441">
        <f t="shared" si="285"/>
        <v>0</v>
      </c>
      <c r="W808" s="441">
        <f t="shared" si="285"/>
        <v>0</v>
      </c>
      <c r="X808" s="441">
        <f t="shared" si="285"/>
        <v>0</v>
      </c>
      <c r="Y808" s="287">
        <f t="shared" si="285"/>
        <v>270000</v>
      </c>
      <c r="Z808" s="287">
        <f t="shared" si="285"/>
        <v>1620000</v>
      </c>
    </row>
    <row r="809" spans="1:26" ht="24" customHeight="1">
      <c r="A809" s="48" t="s">
        <v>20</v>
      </c>
      <c r="B809" s="49" t="s">
        <v>559</v>
      </c>
      <c r="C809" s="281"/>
      <c r="D809" s="281"/>
      <c r="E809" s="228">
        <f t="shared" ref="E809:E817" si="286">+F809+G809+X809</f>
        <v>0.3</v>
      </c>
      <c r="F809" s="425"/>
      <c r="G809" s="376">
        <f t="shared" ref="G809:G817" si="287">+SUM(H809:W809)</f>
        <v>0.3</v>
      </c>
      <c r="H809" s="376"/>
      <c r="I809" s="442"/>
      <c r="J809" s="376"/>
      <c r="K809" s="376"/>
      <c r="L809" s="440"/>
      <c r="M809" s="376"/>
      <c r="N809" s="428">
        <v>0.3</v>
      </c>
      <c r="O809" s="443"/>
      <c r="P809" s="377"/>
      <c r="Q809" s="377"/>
      <c r="R809" s="377"/>
      <c r="S809" s="377"/>
      <c r="T809" s="377"/>
      <c r="U809" s="377"/>
      <c r="V809" s="376"/>
      <c r="W809" s="377"/>
      <c r="X809" s="377">
        <f t="shared" ref="X809:X817" si="288">(F809+I809+J809+K809)*22.5/100</f>
        <v>0</v>
      </c>
      <c r="Y809" s="222">
        <f t="shared" si="283"/>
        <v>30000</v>
      </c>
      <c r="Z809" s="223">
        <f t="shared" si="281"/>
        <v>180000</v>
      </c>
    </row>
    <row r="810" spans="1:26" ht="24" customHeight="1">
      <c r="A810" s="48">
        <v>2</v>
      </c>
      <c r="B810" s="49" t="s">
        <v>561</v>
      </c>
      <c r="C810" s="281"/>
      <c r="D810" s="281"/>
      <c r="E810" s="228">
        <f t="shared" si="286"/>
        <v>0.3</v>
      </c>
      <c r="F810" s="425"/>
      <c r="G810" s="376">
        <f t="shared" si="287"/>
        <v>0.3</v>
      </c>
      <c r="H810" s="376"/>
      <c r="I810" s="428"/>
      <c r="J810" s="376"/>
      <c r="K810" s="376"/>
      <c r="L810" s="440"/>
      <c r="M810" s="376"/>
      <c r="N810" s="428">
        <v>0.3</v>
      </c>
      <c r="O810" s="443"/>
      <c r="P810" s="377"/>
      <c r="Q810" s="377"/>
      <c r="R810" s="377"/>
      <c r="S810" s="377"/>
      <c r="T810" s="377"/>
      <c r="U810" s="377"/>
      <c r="V810" s="376"/>
      <c r="W810" s="377"/>
      <c r="X810" s="377">
        <f t="shared" si="288"/>
        <v>0</v>
      </c>
      <c r="Y810" s="222">
        <f t="shared" si="283"/>
        <v>30000</v>
      </c>
      <c r="Z810" s="223">
        <f t="shared" si="281"/>
        <v>180000</v>
      </c>
    </row>
    <row r="811" spans="1:26" ht="24" customHeight="1">
      <c r="A811" s="48">
        <v>3</v>
      </c>
      <c r="B811" s="49" t="s">
        <v>562</v>
      </c>
      <c r="C811" s="281"/>
      <c r="D811" s="281"/>
      <c r="E811" s="228">
        <f t="shared" si="286"/>
        <v>0.3</v>
      </c>
      <c r="F811" s="425"/>
      <c r="G811" s="376">
        <f t="shared" si="287"/>
        <v>0.3</v>
      </c>
      <c r="H811" s="376"/>
      <c r="I811" s="442"/>
      <c r="J811" s="376"/>
      <c r="K811" s="376"/>
      <c r="L811" s="440"/>
      <c r="M811" s="376"/>
      <c r="N811" s="428">
        <v>0.3</v>
      </c>
      <c r="O811" s="443"/>
      <c r="P811" s="377"/>
      <c r="Q811" s="377"/>
      <c r="R811" s="377"/>
      <c r="S811" s="377"/>
      <c r="T811" s="377"/>
      <c r="U811" s="377"/>
      <c r="V811" s="376"/>
      <c r="W811" s="377"/>
      <c r="X811" s="377">
        <f t="shared" si="288"/>
        <v>0</v>
      </c>
      <c r="Y811" s="222">
        <f t="shared" si="283"/>
        <v>30000</v>
      </c>
      <c r="Z811" s="223">
        <f t="shared" si="281"/>
        <v>180000</v>
      </c>
    </row>
    <row r="812" spans="1:26" ht="24" customHeight="1">
      <c r="A812" s="48">
        <v>4</v>
      </c>
      <c r="B812" s="49" t="s">
        <v>564</v>
      </c>
      <c r="C812" s="281"/>
      <c r="D812" s="281"/>
      <c r="E812" s="228">
        <f t="shared" si="286"/>
        <v>0.3</v>
      </c>
      <c r="F812" s="429"/>
      <c r="G812" s="376">
        <f t="shared" si="287"/>
        <v>0.3</v>
      </c>
      <c r="H812" s="376"/>
      <c r="I812" s="428"/>
      <c r="J812" s="376"/>
      <c r="K812" s="376"/>
      <c r="L812" s="440"/>
      <c r="M812" s="376"/>
      <c r="N812" s="428">
        <v>0.3</v>
      </c>
      <c r="O812" s="443"/>
      <c r="P812" s="377"/>
      <c r="Q812" s="377"/>
      <c r="R812" s="377"/>
      <c r="S812" s="377"/>
      <c r="T812" s="377"/>
      <c r="U812" s="377"/>
      <c r="V812" s="376"/>
      <c r="W812" s="377"/>
      <c r="X812" s="377">
        <f t="shared" si="288"/>
        <v>0</v>
      </c>
      <c r="Y812" s="222">
        <f t="shared" si="283"/>
        <v>30000</v>
      </c>
      <c r="Z812" s="223">
        <f t="shared" si="281"/>
        <v>180000</v>
      </c>
    </row>
    <row r="813" spans="1:26" ht="24" customHeight="1">
      <c r="A813" s="48">
        <v>5</v>
      </c>
      <c r="B813" s="49" t="s">
        <v>566</v>
      </c>
      <c r="C813" s="280"/>
      <c r="D813" s="280"/>
      <c r="E813" s="228">
        <f t="shared" si="286"/>
        <v>0.3</v>
      </c>
      <c r="F813" s="429"/>
      <c r="G813" s="376">
        <f t="shared" si="287"/>
        <v>0.3</v>
      </c>
      <c r="H813" s="376"/>
      <c r="I813" s="428"/>
      <c r="J813" s="376"/>
      <c r="K813" s="376"/>
      <c r="L813" s="440"/>
      <c r="M813" s="376"/>
      <c r="N813" s="428">
        <v>0.3</v>
      </c>
      <c r="O813" s="443"/>
      <c r="P813" s="377"/>
      <c r="Q813" s="377"/>
      <c r="R813" s="377"/>
      <c r="S813" s="377"/>
      <c r="T813" s="377"/>
      <c r="U813" s="377"/>
      <c r="V813" s="376"/>
      <c r="W813" s="377"/>
      <c r="X813" s="377">
        <f t="shared" si="288"/>
        <v>0</v>
      </c>
      <c r="Y813" s="222">
        <f t="shared" si="283"/>
        <v>30000</v>
      </c>
      <c r="Z813" s="223">
        <f t="shared" si="281"/>
        <v>180000</v>
      </c>
    </row>
    <row r="814" spans="1:26" ht="24" customHeight="1">
      <c r="A814" s="48">
        <v>6</v>
      </c>
      <c r="B814" s="46" t="s">
        <v>588</v>
      </c>
      <c r="C814" s="280"/>
      <c r="D814" s="280"/>
      <c r="E814" s="228">
        <f t="shared" si="286"/>
        <v>0.3</v>
      </c>
      <c r="F814" s="442"/>
      <c r="G814" s="376">
        <f t="shared" si="287"/>
        <v>0.3</v>
      </c>
      <c r="H814" s="376"/>
      <c r="I814" s="428"/>
      <c r="J814" s="376"/>
      <c r="K814" s="376"/>
      <c r="L814" s="440"/>
      <c r="M814" s="376"/>
      <c r="N814" s="428">
        <v>0.3</v>
      </c>
      <c r="O814" s="443"/>
      <c r="P814" s="377"/>
      <c r="Q814" s="377"/>
      <c r="R814" s="377"/>
      <c r="S814" s="377"/>
      <c r="T814" s="377"/>
      <c r="U814" s="377"/>
      <c r="V814" s="376"/>
      <c r="W814" s="377"/>
      <c r="X814" s="377">
        <f t="shared" si="288"/>
        <v>0</v>
      </c>
      <c r="Y814" s="222">
        <f t="shared" si="283"/>
        <v>30000</v>
      </c>
      <c r="Z814" s="223">
        <f t="shared" si="281"/>
        <v>180000</v>
      </c>
    </row>
    <row r="815" spans="1:26" ht="24" customHeight="1">
      <c r="A815" s="48">
        <v>7</v>
      </c>
      <c r="B815" s="49" t="s">
        <v>572</v>
      </c>
      <c r="C815" s="281"/>
      <c r="D815" s="281"/>
      <c r="E815" s="228">
        <f t="shared" si="286"/>
        <v>0.3</v>
      </c>
      <c r="F815" s="442"/>
      <c r="G815" s="376">
        <f t="shared" si="287"/>
        <v>0.3</v>
      </c>
      <c r="H815" s="376"/>
      <c r="I815" s="442"/>
      <c r="J815" s="376"/>
      <c r="K815" s="376"/>
      <c r="L815" s="440"/>
      <c r="M815" s="376"/>
      <c r="N815" s="428">
        <v>0.3</v>
      </c>
      <c r="O815" s="443"/>
      <c r="P815" s="377"/>
      <c r="Q815" s="377"/>
      <c r="R815" s="377"/>
      <c r="S815" s="377"/>
      <c r="T815" s="377"/>
      <c r="U815" s="377"/>
      <c r="V815" s="376"/>
      <c r="W815" s="377"/>
      <c r="X815" s="377">
        <f t="shared" si="288"/>
        <v>0</v>
      </c>
      <c r="Y815" s="222">
        <f t="shared" si="283"/>
        <v>30000</v>
      </c>
      <c r="Z815" s="223">
        <f t="shared" si="281"/>
        <v>180000</v>
      </c>
    </row>
    <row r="816" spans="1:26" ht="24" customHeight="1">
      <c r="A816" s="48">
        <v>8</v>
      </c>
      <c r="B816" s="49" t="s">
        <v>573</v>
      </c>
      <c r="C816" s="281"/>
      <c r="D816" s="281"/>
      <c r="E816" s="228">
        <f t="shared" si="286"/>
        <v>0.3</v>
      </c>
      <c r="F816" s="442"/>
      <c r="G816" s="376">
        <f t="shared" si="287"/>
        <v>0.3</v>
      </c>
      <c r="H816" s="376"/>
      <c r="I816" s="442"/>
      <c r="J816" s="376"/>
      <c r="K816" s="376"/>
      <c r="L816" s="440"/>
      <c r="M816" s="376"/>
      <c r="N816" s="428">
        <v>0.3</v>
      </c>
      <c r="O816" s="443"/>
      <c r="P816" s="377"/>
      <c r="Q816" s="377"/>
      <c r="R816" s="377"/>
      <c r="S816" s="377"/>
      <c r="T816" s="377"/>
      <c r="U816" s="377"/>
      <c r="V816" s="376"/>
      <c r="W816" s="377"/>
      <c r="X816" s="377">
        <f t="shared" si="288"/>
        <v>0</v>
      </c>
      <c r="Y816" s="222">
        <f t="shared" si="283"/>
        <v>30000</v>
      </c>
      <c r="Z816" s="223">
        <f t="shared" si="281"/>
        <v>180000</v>
      </c>
    </row>
    <row r="817" spans="1:26" ht="24" customHeight="1">
      <c r="A817" s="48">
        <v>9</v>
      </c>
      <c r="B817" s="92" t="s">
        <v>585</v>
      </c>
      <c r="C817" s="280"/>
      <c r="D817" s="280"/>
      <c r="E817" s="228">
        <f t="shared" si="286"/>
        <v>0.3</v>
      </c>
      <c r="F817" s="442"/>
      <c r="G817" s="376">
        <f t="shared" si="287"/>
        <v>0.3</v>
      </c>
      <c r="H817" s="376"/>
      <c r="I817" s="444"/>
      <c r="J817" s="376"/>
      <c r="K817" s="376"/>
      <c r="L817" s="440"/>
      <c r="M817" s="376"/>
      <c r="N817" s="428">
        <v>0.3</v>
      </c>
      <c r="O817" s="445"/>
      <c r="P817" s="377"/>
      <c r="Q817" s="377"/>
      <c r="R817" s="377"/>
      <c r="S817" s="377"/>
      <c r="T817" s="377"/>
      <c r="U817" s="377"/>
      <c r="V817" s="376"/>
      <c r="W817" s="377"/>
      <c r="X817" s="377">
        <f t="shared" si="288"/>
        <v>0</v>
      </c>
      <c r="Y817" s="222">
        <f t="shared" si="283"/>
        <v>30000</v>
      </c>
      <c r="Z817" s="223">
        <f t="shared" si="281"/>
        <v>180000</v>
      </c>
    </row>
    <row r="818" spans="1:26" ht="24" customHeight="1">
      <c r="A818" s="62" t="s">
        <v>79</v>
      </c>
      <c r="B818" s="288" t="s">
        <v>590</v>
      </c>
      <c r="C818" s="289"/>
      <c r="D818" s="290"/>
      <c r="E818" s="291">
        <f>SUM(E819:E844)</f>
        <v>7.7999999999999972</v>
      </c>
      <c r="F818" s="446">
        <f t="shared" ref="F818:Z818" si="289">SUM(F819:F844)</f>
        <v>0</v>
      </c>
      <c r="G818" s="446">
        <f t="shared" si="289"/>
        <v>7.7999999999999972</v>
      </c>
      <c r="H818" s="446">
        <f t="shared" si="289"/>
        <v>0</v>
      </c>
      <c r="I818" s="446">
        <f t="shared" si="289"/>
        <v>0</v>
      </c>
      <c r="J818" s="446">
        <f t="shared" si="289"/>
        <v>0</v>
      </c>
      <c r="K818" s="446">
        <f t="shared" si="289"/>
        <v>0</v>
      </c>
      <c r="L818" s="446">
        <f t="shared" si="289"/>
        <v>0</v>
      </c>
      <c r="M818" s="446">
        <f t="shared" si="289"/>
        <v>0</v>
      </c>
      <c r="N818" s="446">
        <f t="shared" si="289"/>
        <v>0</v>
      </c>
      <c r="O818" s="446">
        <f t="shared" si="289"/>
        <v>7.7999999999999972</v>
      </c>
      <c r="P818" s="446">
        <f t="shared" si="289"/>
        <v>0</v>
      </c>
      <c r="Q818" s="446">
        <f t="shared" si="289"/>
        <v>0</v>
      </c>
      <c r="R818" s="446">
        <f t="shared" si="289"/>
        <v>0</v>
      </c>
      <c r="S818" s="446">
        <f t="shared" si="289"/>
        <v>0</v>
      </c>
      <c r="T818" s="446">
        <f t="shared" si="289"/>
        <v>0</v>
      </c>
      <c r="U818" s="446">
        <f t="shared" si="289"/>
        <v>0</v>
      </c>
      <c r="V818" s="446">
        <f t="shared" si="289"/>
        <v>0</v>
      </c>
      <c r="W818" s="446">
        <f t="shared" si="289"/>
        <v>0</v>
      </c>
      <c r="X818" s="446">
        <f t="shared" si="289"/>
        <v>0</v>
      </c>
      <c r="Y818" s="292">
        <f t="shared" si="289"/>
        <v>780000</v>
      </c>
      <c r="Z818" s="292">
        <f t="shared" si="289"/>
        <v>4680000</v>
      </c>
    </row>
    <row r="819" spans="1:26" s="51" customFormat="1" ht="24" customHeight="1">
      <c r="A819" s="48" t="s">
        <v>20</v>
      </c>
      <c r="B819" s="56" t="s">
        <v>567</v>
      </c>
      <c r="C819" s="293"/>
      <c r="D819" s="281"/>
      <c r="E819" s="228">
        <f t="shared" ref="E819:E844" si="290">+F819+G819+X819</f>
        <v>0.3</v>
      </c>
      <c r="F819" s="425"/>
      <c r="G819" s="376">
        <f t="shared" ref="G819:G844" si="291">+SUM(H819:W819)</f>
        <v>0.3</v>
      </c>
      <c r="H819" s="376"/>
      <c r="I819" s="442"/>
      <c r="J819" s="376"/>
      <c r="K819" s="376"/>
      <c r="L819" s="440"/>
      <c r="M819" s="376"/>
      <c r="N819" s="428"/>
      <c r="O819" s="428">
        <v>0.3</v>
      </c>
      <c r="P819" s="377"/>
      <c r="Q819" s="377"/>
      <c r="R819" s="377"/>
      <c r="S819" s="377"/>
      <c r="T819" s="377"/>
      <c r="U819" s="377"/>
      <c r="V819" s="376"/>
      <c r="W819" s="377"/>
      <c r="X819" s="377">
        <f t="shared" ref="X819:X844" si="292">(F819+I819+J819+K819)*22.5/100</f>
        <v>0</v>
      </c>
      <c r="Y819" s="222">
        <f t="shared" si="283"/>
        <v>30000</v>
      </c>
      <c r="Z819" s="223">
        <f t="shared" si="281"/>
        <v>180000</v>
      </c>
    </row>
    <row r="820" spans="1:26" s="51" customFormat="1" ht="24" customHeight="1">
      <c r="A820" s="48" t="s">
        <v>140</v>
      </c>
      <c r="B820" s="56" t="s">
        <v>568</v>
      </c>
      <c r="C820" s="293"/>
      <c r="D820" s="281"/>
      <c r="E820" s="228">
        <f t="shared" si="290"/>
        <v>0.3</v>
      </c>
      <c r="F820" s="425"/>
      <c r="G820" s="376">
        <f t="shared" si="291"/>
        <v>0.3</v>
      </c>
      <c r="H820" s="376"/>
      <c r="I820" s="442"/>
      <c r="J820" s="376"/>
      <c r="K820" s="376"/>
      <c r="L820" s="440"/>
      <c r="M820" s="376"/>
      <c r="N820" s="428"/>
      <c r="O820" s="428">
        <v>0.3</v>
      </c>
      <c r="P820" s="377"/>
      <c r="Q820" s="377"/>
      <c r="R820" s="377"/>
      <c r="S820" s="377"/>
      <c r="T820" s="377"/>
      <c r="U820" s="377"/>
      <c r="V820" s="376"/>
      <c r="W820" s="377"/>
      <c r="X820" s="377">
        <f t="shared" si="292"/>
        <v>0</v>
      </c>
      <c r="Y820" s="222">
        <f t="shared" si="283"/>
        <v>30000</v>
      </c>
      <c r="Z820" s="223">
        <f t="shared" si="281"/>
        <v>180000</v>
      </c>
    </row>
    <row r="821" spans="1:26" s="51" customFormat="1" ht="24" customHeight="1">
      <c r="A821" s="48" t="s">
        <v>21</v>
      </c>
      <c r="B821" s="56" t="s">
        <v>569</v>
      </c>
      <c r="C821" s="293"/>
      <c r="D821" s="281"/>
      <c r="E821" s="228">
        <f t="shared" si="290"/>
        <v>0.3</v>
      </c>
      <c r="F821" s="425"/>
      <c r="G821" s="376">
        <f t="shared" si="291"/>
        <v>0.3</v>
      </c>
      <c r="H821" s="376"/>
      <c r="I821" s="442"/>
      <c r="J821" s="376"/>
      <c r="K821" s="376"/>
      <c r="L821" s="440"/>
      <c r="M821" s="376"/>
      <c r="N821" s="428"/>
      <c r="O821" s="428">
        <v>0.3</v>
      </c>
      <c r="P821" s="377"/>
      <c r="Q821" s="377"/>
      <c r="R821" s="377"/>
      <c r="S821" s="377"/>
      <c r="T821" s="377"/>
      <c r="U821" s="377"/>
      <c r="V821" s="376"/>
      <c r="W821" s="377"/>
      <c r="X821" s="377">
        <f t="shared" si="292"/>
        <v>0</v>
      </c>
      <c r="Y821" s="222">
        <f t="shared" si="283"/>
        <v>30000</v>
      </c>
      <c r="Z821" s="223">
        <f t="shared" si="281"/>
        <v>180000</v>
      </c>
    </row>
    <row r="822" spans="1:26" s="51" customFormat="1" ht="24" customHeight="1">
      <c r="A822" s="48" t="s">
        <v>22</v>
      </c>
      <c r="B822" s="56" t="s">
        <v>570</v>
      </c>
      <c r="C822" s="293"/>
      <c r="D822" s="281"/>
      <c r="E822" s="228">
        <f t="shared" si="290"/>
        <v>0.3</v>
      </c>
      <c r="F822" s="425"/>
      <c r="G822" s="376">
        <f t="shared" si="291"/>
        <v>0.3</v>
      </c>
      <c r="H822" s="376"/>
      <c r="I822" s="442"/>
      <c r="J822" s="376"/>
      <c r="K822" s="376"/>
      <c r="L822" s="440"/>
      <c r="M822" s="376"/>
      <c r="N822" s="428"/>
      <c r="O822" s="442">
        <v>0.3</v>
      </c>
      <c r="P822" s="377"/>
      <c r="Q822" s="377"/>
      <c r="R822" s="377"/>
      <c r="S822" s="377"/>
      <c r="T822" s="377"/>
      <c r="U822" s="377"/>
      <c r="V822" s="376"/>
      <c r="W822" s="377"/>
      <c r="X822" s="377">
        <f t="shared" si="292"/>
        <v>0</v>
      </c>
      <c r="Y822" s="222">
        <f t="shared" si="283"/>
        <v>30000</v>
      </c>
      <c r="Z822" s="223">
        <f t="shared" si="281"/>
        <v>180000</v>
      </c>
    </row>
    <row r="823" spans="1:26" s="51" customFormat="1" ht="24" customHeight="1">
      <c r="A823" s="48" t="s">
        <v>12</v>
      </c>
      <c r="B823" s="56" t="s">
        <v>572</v>
      </c>
      <c r="C823" s="293"/>
      <c r="D823" s="281"/>
      <c r="E823" s="228">
        <f t="shared" si="290"/>
        <v>0.3</v>
      </c>
      <c r="F823" s="442"/>
      <c r="G823" s="376">
        <f t="shared" si="291"/>
        <v>0.3</v>
      </c>
      <c r="H823" s="376"/>
      <c r="I823" s="442"/>
      <c r="J823" s="376"/>
      <c r="K823" s="376"/>
      <c r="L823" s="440"/>
      <c r="M823" s="376"/>
      <c r="N823" s="428"/>
      <c r="O823" s="442">
        <v>0.3</v>
      </c>
      <c r="P823" s="377"/>
      <c r="Q823" s="377"/>
      <c r="R823" s="377"/>
      <c r="S823" s="377"/>
      <c r="T823" s="377"/>
      <c r="U823" s="377"/>
      <c r="V823" s="376"/>
      <c r="W823" s="377"/>
      <c r="X823" s="377">
        <f t="shared" si="292"/>
        <v>0</v>
      </c>
      <c r="Y823" s="222">
        <f t="shared" si="283"/>
        <v>30000</v>
      </c>
      <c r="Z823" s="223">
        <f t="shared" si="281"/>
        <v>180000</v>
      </c>
    </row>
    <row r="824" spans="1:26" s="51" customFormat="1" ht="24" customHeight="1">
      <c r="A824" s="48" t="s">
        <v>36</v>
      </c>
      <c r="B824" s="56" t="s">
        <v>573</v>
      </c>
      <c r="C824" s="293"/>
      <c r="D824" s="281"/>
      <c r="E824" s="228">
        <f t="shared" si="290"/>
        <v>0.3</v>
      </c>
      <c r="F824" s="442"/>
      <c r="G824" s="376">
        <f t="shared" si="291"/>
        <v>0.3</v>
      </c>
      <c r="H824" s="376"/>
      <c r="I824" s="442"/>
      <c r="J824" s="376"/>
      <c r="K824" s="376"/>
      <c r="L824" s="447"/>
      <c r="M824" s="376"/>
      <c r="N824" s="428"/>
      <c r="O824" s="442">
        <v>0.3</v>
      </c>
      <c r="P824" s="377"/>
      <c r="Q824" s="377"/>
      <c r="R824" s="377"/>
      <c r="S824" s="377"/>
      <c r="T824" s="377"/>
      <c r="U824" s="377"/>
      <c r="V824" s="376"/>
      <c r="W824" s="377"/>
      <c r="X824" s="377">
        <f t="shared" si="292"/>
        <v>0</v>
      </c>
      <c r="Y824" s="222">
        <f t="shared" si="283"/>
        <v>30000</v>
      </c>
      <c r="Z824" s="223">
        <f t="shared" si="281"/>
        <v>180000</v>
      </c>
    </row>
    <row r="825" spans="1:26" s="51" customFormat="1" ht="24" customHeight="1">
      <c r="A825" s="48" t="s">
        <v>37</v>
      </c>
      <c r="B825" s="56" t="s">
        <v>574</v>
      </c>
      <c r="C825" s="293"/>
      <c r="D825" s="280"/>
      <c r="E825" s="228">
        <f t="shared" si="290"/>
        <v>0.3</v>
      </c>
      <c r="F825" s="442"/>
      <c r="G825" s="376">
        <f t="shared" si="291"/>
        <v>0.3</v>
      </c>
      <c r="H825" s="376"/>
      <c r="I825" s="444"/>
      <c r="J825" s="376"/>
      <c r="K825" s="376"/>
      <c r="L825" s="447"/>
      <c r="M825" s="376"/>
      <c r="N825" s="444"/>
      <c r="O825" s="428">
        <v>0.3</v>
      </c>
      <c r="P825" s="377"/>
      <c r="Q825" s="377"/>
      <c r="R825" s="377"/>
      <c r="S825" s="377"/>
      <c r="T825" s="377"/>
      <c r="U825" s="377"/>
      <c r="V825" s="376"/>
      <c r="W825" s="377"/>
      <c r="X825" s="377">
        <f t="shared" si="292"/>
        <v>0</v>
      </c>
      <c r="Y825" s="222">
        <f t="shared" si="283"/>
        <v>30000</v>
      </c>
      <c r="Z825" s="223">
        <f t="shared" si="281"/>
        <v>180000</v>
      </c>
    </row>
    <row r="826" spans="1:26" s="51" customFormat="1" ht="24" customHeight="1">
      <c r="A826" s="48" t="s">
        <v>146</v>
      </c>
      <c r="B826" s="56" t="s">
        <v>575</v>
      </c>
      <c r="C826" s="293"/>
      <c r="D826" s="280"/>
      <c r="E826" s="228">
        <f t="shared" si="290"/>
        <v>0.3</v>
      </c>
      <c r="F826" s="442"/>
      <c r="G826" s="376">
        <f t="shared" si="291"/>
        <v>0.3</v>
      </c>
      <c r="H826" s="376"/>
      <c r="I826" s="444"/>
      <c r="J826" s="376"/>
      <c r="K826" s="376"/>
      <c r="L826" s="447"/>
      <c r="M826" s="376"/>
      <c r="N826" s="444"/>
      <c r="O826" s="428">
        <v>0.3</v>
      </c>
      <c r="P826" s="377"/>
      <c r="Q826" s="377"/>
      <c r="R826" s="377"/>
      <c r="S826" s="377"/>
      <c r="T826" s="377"/>
      <c r="U826" s="377"/>
      <c r="V826" s="376"/>
      <c r="W826" s="377"/>
      <c r="X826" s="377">
        <f t="shared" si="292"/>
        <v>0</v>
      </c>
      <c r="Y826" s="222">
        <f t="shared" si="283"/>
        <v>30000</v>
      </c>
      <c r="Z826" s="223">
        <f t="shared" si="281"/>
        <v>180000</v>
      </c>
    </row>
    <row r="827" spans="1:26" s="51" customFormat="1" ht="24" customHeight="1">
      <c r="A827" s="48" t="s">
        <v>148</v>
      </c>
      <c r="B827" s="14" t="s">
        <v>580</v>
      </c>
      <c r="C827" s="293"/>
      <c r="D827" s="280"/>
      <c r="E827" s="228">
        <f t="shared" si="290"/>
        <v>0.3</v>
      </c>
      <c r="F827" s="448"/>
      <c r="G827" s="376">
        <f t="shared" si="291"/>
        <v>0.3</v>
      </c>
      <c r="H827" s="376"/>
      <c r="I827" s="444"/>
      <c r="J827" s="376"/>
      <c r="K827" s="376"/>
      <c r="L827" s="447"/>
      <c r="M827" s="376"/>
      <c r="N827" s="444"/>
      <c r="O827" s="428">
        <v>0.3</v>
      </c>
      <c r="P827" s="377"/>
      <c r="Q827" s="377"/>
      <c r="R827" s="377"/>
      <c r="S827" s="377"/>
      <c r="T827" s="377"/>
      <c r="U827" s="377"/>
      <c r="V827" s="376"/>
      <c r="W827" s="377"/>
      <c r="X827" s="377">
        <f t="shared" si="292"/>
        <v>0</v>
      </c>
      <c r="Y827" s="222">
        <f t="shared" si="283"/>
        <v>30000</v>
      </c>
      <c r="Z827" s="223">
        <f t="shared" si="281"/>
        <v>180000</v>
      </c>
    </row>
    <row r="828" spans="1:26" s="51" customFormat="1" ht="24" customHeight="1">
      <c r="A828" s="48" t="s">
        <v>150</v>
      </c>
      <c r="B828" s="93" t="s">
        <v>581</v>
      </c>
      <c r="C828" s="293"/>
      <c r="D828" s="280"/>
      <c r="E828" s="228">
        <f t="shared" si="290"/>
        <v>0.3</v>
      </c>
      <c r="F828" s="449"/>
      <c r="G828" s="376">
        <f t="shared" si="291"/>
        <v>0.3</v>
      </c>
      <c r="H828" s="376"/>
      <c r="I828" s="444"/>
      <c r="J828" s="376"/>
      <c r="K828" s="376"/>
      <c r="L828" s="447"/>
      <c r="M828" s="376"/>
      <c r="N828" s="444"/>
      <c r="O828" s="428">
        <v>0.3</v>
      </c>
      <c r="P828" s="377"/>
      <c r="Q828" s="377"/>
      <c r="R828" s="377"/>
      <c r="S828" s="377"/>
      <c r="T828" s="377"/>
      <c r="U828" s="377"/>
      <c r="V828" s="376"/>
      <c r="W828" s="377"/>
      <c r="X828" s="377">
        <f t="shared" si="292"/>
        <v>0</v>
      </c>
      <c r="Y828" s="222">
        <f t="shared" si="283"/>
        <v>30000</v>
      </c>
      <c r="Z828" s="223">
        <f t="shared" si="281"/>
        <v>180000</v>
      </c>
    </row>
    <row r="829" spans="1:26" s="51" customFormat="1" ht="24" customHeight="1">
      <c r="A829" s="48" t="s">
        <v>162</v>
      </c>
      <c r="B829" s="93" t="s">
        <v>582</v>
      </c>
      <c r="C829" s="293"/>
      <c r="D829" s="280"/>
      <c r="E829" s="228">
        <f t="shared" si="290"/>
        <v>0.3</v>
      </c>
      <c r="F829" s="450"/>
      <c r="G829" s="376">
        <f t="shared" si="291"/>
        <v>0.3</v>
      </c>
      <c r="H829" s="376"/>
      <c r="I829" s="444"/>
      <c r="J829" s="376"/>
      <c r="K829" s="376"/>
      <c r="L829" s="447"/>
      <c r="M829" s="376"/>
      <c r="N829" s="444"/>
      <c r="O829" s="428">
        <v>0.3</v>
      </c>
      <c r="P829" s="377"/>
      <c r="Q829" s="377"/>
      <c r="R829" s="377"/>
      <c r="S829" s="377"/>
      <c r="T829" s="377"/>
      <c r="U829" s="377"/>
      <c r="V829" s="376"/>
      <c r="W829" s="377"/>
      <c r="X829" s="377">
        <f t="shared" si="292"/>
        <v>0</v>
      </c>
      <c r="Y829" s="222">
        <f t="shared" si="283"/>
        <v>30000</v>
      </c>
      <c r="Z829" s="223">
        <f t="shared" si="281"/>
        <v>180000</v>
      </c>
    </row>
    <row r="830" spans="1:26" s="51" customFormat="1" ht="24" customHeight="1">
      <c r="A830" s="48" t="s">
        <v>164</v>
      </c>
      <c r="B830" s="93" t="s">
        <v>583</v>
      </c>
      <c r="C830" s="293"/>
      <c r="D830" s="280"/>
      <c r="E830" s="228">
        <f t="shared" si="290"/>
        <v>0.3</v>
      </c>
      <c r="F830" s="450"/>
      <c r="G830" s="376">
        <f t="shared" si="291"/>
        <v>0.3</v>
      </c>
      <c r="H830" s="376"/>
      <c r="I830" s="444"/>
      <c r="J830" s="376"/>
      <c r="K830" s="376"/>
      <c r="L830" s="447"/>
      <c r="M830" s="376"/>
      <c r="N830" s="444"/>
      <c r="O830" s="428">
        <v>0.3</v>
      </c>
      <c r="P830" s="377"/>
      <c r="Q830" s="377"/>
      <c r="R830" s="377"/>
      <c r="S830" s="377"/>
      <c r="T830" s="377"/>
      <c r="U830" s="377"/>
      <c r="V830" s="376"/>
      <c r="W830" s="377"/>
      <c r="X830" s="377">
        <f t="shared" si="292"/>
        <v>0</v>
      </c>
      <c r="Y830" s="222">
        <f t="shared" si="283"/>
        <v>30000</v>
      </c>
      <c r="Z830" s="223">
        <f t="shared" si="281"/>
        <v>180000</v>
      </c>
    </row>
    <row r="831" spans="1:26" s="51" customFormat="1" ht="24" customHeight="1">
      <c r="A831" s="48" t="s">
        <v>439</v>
      </c>
      <c r="B831" s="14" t="s">
        <v>584</v>
      </c>
      <c r="C831" s="293"/>
      <c r="D831" s="280"/>
      <c r="E831" s="228">
        <f t="shared" si="290"/>
        <v>0.3</v>
      </c>
      <c r="F831" s="450"/>
      <c r="G831" s="376">
        <f t="shared" si="291"/>
        <v>0.3</v>
      </c>
      <c r="H831" s="376"/>
      <c r="I831" s="444"/>
      <c r="J831" s="376"/>
      <c r="K831" s="376"/>
      <c r="L831" s="447"/>
      <c r="M831" s="376"/>
      <c r="N831" s="444"/>
      <c r="O831" s="428">
        <v>0.3</v>
      </c>
      <c r="P831" s="377"/>
      <c r="Q831" s="377"/>
      <c r="R831" s="377"/>
      <c r="S831" s="377"/>
      <c r="T831" s="377"/>
      <c r="U831" s="377"/>
      <c r="V831" s="376"/>
      <c r="W831" s="377"/>
      <c r="X831" s="377">
        <f t="shared" si="292"/>
        <v>0</v>
      </c>
      <c r="Y831" s="222">
        <f t="shared" si="283"/>
        <v>30000</v>
      </c>
      <c r="Z831" s="223">
        <f t="shared" si="281"/>
        <v>180000</v>
      </c>
    </row>
    <row r="832" spans="1:26" s="51" customFormat="1" ht="24" customHeight="1">
      <c r="A832" s="48" t="s">
        <v>441</v>
      </c>
      <c r="B832" s="14" t="s">
        <v>252</v>
      </c>
      <c r="C832" s="293"/>
      <c r="D832" s="280"/>
      <c r="E832" s="228">
        <f t="shared" si="290"/>
        <v>0.3</v>
      </c>
      <c r="F832" s="450"/>
      <c r="G832" s="376">
        <f t="shared" si="291"/>
        <v>0.3</v>
      </c>
      <c r="H832" s="376"/>
      <c r="I832" s="444"/>
      <c r="J832" s="376"/>
      <c r="K832" s="376"/>
      <c r="L832" s="447"/>
      <c r="M832" s="376"/>
      <c r="N832" s="444"/>
      <c r="O832" s="428">
        <v>0.3</v>
      </c>
      <c r="P832" s="377"/>
      <c r="Q832" s="377"/>
      <c r="R832" s="377"/>
      <c r="S832" s="377"/>
      <c r="T832" s="377"/>
      <c r="U832" s="377"/>
      <c r="V832" s="376"/>
      <c r="W832" s="377"/>
      <c r="X832" s="377">
        <f t="shared" si="292"/>
        <v>0</v>
      </c>
      <c r="Y832" s="222">
        <f t="shared" si="283"/>
        <v>30000</v>
      </c>
      <c r="Z832" s="223">
        <f t="shared" si="281"/>
        <v>180000</v>
      </c>
    </row>
    <row r="833" spans="1:26" s="51" customFormat="1" ht="24" customHeight="1">
      <c r="A833" s="48" t="s">
        <v>443</v>
      </c>
      <c r="B833" s="92" t="s">
        <v>585</v>
      </c>
      <c r="C833" s="293"/>
      <c r="D833" s="280"/>
      <c r="E833" s="228">
        <f t="shared" si="290"/>
        <v>0.3</v>
      </c>
      <c r="F833" s="442"/>
      <c r="G833" s="376">
        <f t="shared" si="291"/>
        <v>0.3</v>
      </c>
      <c r="H833" s="376"/>
      <c r="I833" s="444"/>
      <c r="J833" s="376"/>
      <c r="K833" s="376"/>
      <c r="L833" s="447"/>
      <c r="M833" s="376"/>
      <c r="N833" s="428"/>
      <c r="O833" s="428">
        <v>0.3</v>
      </c>
      <c r="P833" s="377"/>
      <c r="Q833" s="377"/>
      <c r="R833" s="377"/>
      <c r="S833" s="377"/>
      <c r="T833" s="377"/>
      <c r="U833" s="377"/>
      <c r="V833" s="376"/>
      <c r="W833" s="377"/>
      <c r="X833" s="377">
        <f t="shared" si="292"/>
        <v>0</v>
      </c>
      <c r="Y833" s="222">
        <f t="shared" si="283"/>
        <v>30000</v>
      </c>
      <c r="Z833" s="223">
        <f t="shared" si="281"/>
        <v>180000</v>
      </c>
    </row>
    <row r="834" spans="1:26" s="51" customFormat="1" ht="24" customHeight="1">
      <c r="A834" s="48" t="s">
        <v>445</v>
      </c>
      <c r="B834" s="72" t="s">
        <v>586</v>
      </c>
      <c r="C834" s="293"/>
      <c r="D834" s="280"/>
      <c r="E834" s="228">
        <f t="shared" si="290"/>
        <v>0.3</v>
      </c>
      <c r="F834" s="442"/>
      <c r="G834" s="376">
        <f t="shared" si="291"/>
        <v>0.3</v>
      </c>
      <c r="H834" s="376"/>
      <c r="I834" s="444"/>
      <c r="J834" s="376"/>
      <c r="K834" s="376"/>
      <c r="L834" s="447"/>
      <c r="M834" s="376"/>
      <c r="N834" s="444"/>
      <c r="O834" s="428">
        <v>0.3</v>
      </c>
      <c r="P834" s="377"/>
      <c r="Q834" s="377"/>
      <c r="R834" s="377"/>
      <c r="S834" s="377"/>
      <c r="T834" s="377"/>
      <c r="U834" s="377"/>
      <c r="V834" s="376"/>
      <c r="W834" s="377"/>
      <c r="X834" s="377">
        <f t="shared" si="292"/>
        <v>0</v>
      </c>
      <c r="Y834" s="222">
        <f t="shared" si="283"/>
        <v>30000</v>
      </c>
      <c r="Z834" s="223">
        <f t="shared" si="281"/>
        <v>180000</v>
      </c>
    </row>
    <row r="835" spans="1:26" s="51" customFormat="1" ht="24" customHeight="1">
      <c r="A835" s="48" t="s">
        <v>447</v>
      </c>
      <c r="B835" s="72" t="s">
        <v>591</v>
      </c>
      <c r="C835" s="293"/>
      <c r="D835" s="280"/>
      <c r="E835" s="228">
        <f t="shared" si="290"/>
        <v>0.3</v>
      </c>
      <c r="F835" s="442"/>
      <c r="G835" s="376">
        <f t="shared" si="291"/>
        <v>0.3</v>
      </c>
      <c r="H835" s="376"/>
      <c r="I835" s="444"/>
      <c r="J835" s="376"/>
      <c r="K835" s="376"/>
      <c r="L835" s="447"/>
      <c r="M835" s="376"/>
      <c r="N835" s="444"/>
      <c r="O835" s="428">
        <v>0.3</v>
      </c>
      <c r="P835" s="377"/>
      <c r="Q835" s="377"/>
      <c r="R835" s="377"/>
      <c r="S835" s="377"/>
      <c r="T835" s="377"/>
      <c r="U835" s="377"/>
      <c r="V835" s="376"/>
      <c r="W835" s="377"/>
      <c r="X835" s="377">
        <f t="shared" si="292"/>
        <v>0</v>
      </c>
      <c r="Y835" s="222">
        <f t="shared" si="283"/>
        <v>30000</v>
      </c>
      <c r="Z835" s="223">
        <f t="shared" si="281"/>
        <v>180000</v>
      </c>
    </row>
    <row r="836" spans="1:26" s="51" customFormat="1" ht="24" customHeight="1">
      <c r="A836" s="48" t="s">
        <v>449</v>
      </c>
      <c r="B836" s="72" t="s">
        <v>587</v>
      </c>
      <c r="C836" s="293"/>
      <c r="D836" s="280"/>
      <c r="E836" s="228">
        <f t="shared" si="290"/>
        <v>0.3</v>
      </c>
      <c r="F836" s="442"/>
      <c r="G836" s="376">
        <f t="shared" si="291"/>
        <v>0.3</v>
      </c>
      <c r="H836" s="376"/>
      <c r="I836" s="444"/>
      <c r="J836" s="376"/>
      <c r="K836" s="376"/>
      <c r="L836" s="447"/>
      <c r="M836" s="376"/>
      <c r="N836" s="444"/>
      <c r="O836" s="428">
        <v>0.3</v>
      </c>
      <c r="P836" s="377"/>
      <c r="Q836" s="377"/>
      <c r="R836" s="377"/>
      <c r="S836" s="377"/>
      <c r="T836" s="377"/>
      <c r="U836" s="377"/>
      <c r="V836" s="376"/>
      <c r="W836" s="377"/>
      <c r="X836" s="377">
        <f t="shared" si="292"/>
        <v>0</v>
      </c>
      <c r="Y836" s="222">
        <f t="shared" si="283"/>
        <v>30000</v>
      </c>
      <c r="Z836" s="223">
        <f t="shared" si="281"/>
        <v>180000</v>
      </c>
    </row>
    <row r="837" spans="1:26" ht="24" customHeight="1">
      <c r="A837" s="48" t="s">
        <v>451</v>
      </c>
      <c r="B837" s="72" t="s">
        <v>224</v>
      </c>
      <c r="C837" s="293"/>
      <c r="D837" s="280"/>
      <c r="E837" s="228">
        <f t="shared" si="290"/>
        <v>0.3</v>
      </c>
      <c r="F837" s="442"/>
      <c r="G837" s="376">
        <f t="shared" si="291"/>
        <v>0.3</v>
      </c>
      <c r="H837" s="376"/>
      <c r="I837" s="444"/>
      <c r="J837" s="376"/>
      <c r="K837" s="376"/>
      <c r="L837" s="447"/>
      <c r="M837" s="376"/>
      <c r="N837" s="444"/>
      <c r="O837" s="428">
        <v>0.3</v>
      </c>
      <c r="P837" s="377"/>
      <c r="Q837" s="377"/>
      <c r="R837" s="377"/>
      <c r="S837" s="377"/>
      <c r="T837" s="377"/>
      <c r="U837" s="377"/>
      <c r="V837" s="376"/>
      <c r="W837" s="377"/>
      <c r="X837" s="377">
        <f t="shared" si="292"/>
        <v>0</v>
      </c>
      <c r="Y837" s="222">
        <f t="shared" si="283"/>
        <v>30000</v>
      </c>
      <c r="Z837" s="223">
        <f t="shared" si="281"/>
        <v>180000</v>
      </c>
    </row>
    <row r="838" spans="1:26" ht="24" customHeight="1">
      <c r="A838" s="48" t="s">
        <v>453</v>
      </c>
      <c r="B838" s="72" t="s">
        <v>562</v>
      </c>
      <c r="C838" s="293"/>
      <c r="D838" s="280"/>
      <c r="E838" s="228">
        <f t="shared" si="290"/>
        <v>0.3</v>
      </c>
      <c r="F838" s="442"/>
      <c r="G838" s="376">
        <f t="shared" si="291"/>
        <v>0.3</v>
      </c>
      <c r="H838" s="376"/>
      <c r="I838" s="444"/>
      <c r="J838" s="376"/>
      <c r="K838" s="376"/>
      <c r="L838" s="447"/>
      <c r="M838" s="376"/>
      <c r="N838" s="444"/>
      <c r="O838" s="428">
        <v>0.3</v>
      </c>
      <c r="P838" s="377"/>
      <c r="Q838" s="377"/>
      <c r="R838" s="377"/>
      <c r="S838" s="377"/>
      <c r="T838" s="377"/>
      <c r="U838" s="377"/>
      <c r="V838" s="376"/>
      <c r="W838" s="377"/>
      <c r="X838" s="377">
        <f t="shared" si="292"/>
        <v>0</v>
      </c>
      <c r="Y838" s="222">
        <f t="shared" si="283"/>
        <v>30000</v>
      </c>
      <c r="Z838" s="223">
        <f t="shared" si="281"/>
        <v>180000</v>
      </c>
    </row>
    <row r="839" spans="1:26" ht="24" customHeight="1">
      <c r="A839" s="48" t="s">
        <v>454</v>
      </c>
      <c r="B839" s="72" t="s">
        <v>559</v>
      </c>
      <c r="C839" s="293"/>
      <c r="D839" s="280"/>
      <c r="E839" s="228">
        <f t="shared" si="290"/>
        <v>0.3</v>
      </c>
      <c r="F839" s="442"/>
      <c r="G839" s="376">
        <f t="shared" si="291"/>
        <v>0.3</v>
      </c>
      <c r="H839" s="376"/>
      <c r="I839" s="444"/>
      <c r="J839" s="376"/>
      <c r="K839" s="376"/>
      <c r="L839" s="447"/>
      <c r="M839" s="376"/>
      <c r="N839" s="444"/>
      <c r="O839" s="428">
        <v>0.3</v>
      </c>
      <c r="P839" s="377"/>
      <c r="Q839" s="377"/>
      <c r="R839" s="377"/>
      <c r="S839" s="377"/>
      <c r="T839" s="377"/>
      <c r="U839" s="377"/>
      <c r="V839" s="376"/>
      <c r="W839" s="377"/>
      <c r="X839" s="377">
        <f t="shared" si="292"/>
        <v>0</v>
      </c>
      <c r="Y839" s="222">
        <f t="shared" si="283"/>
        <v>30000</v>
      </c>
      <c r="Z839" s="223">
        <f t="shared" si="281"/>
        <v>180000</v>
      </c>
    </row>
    <row r="840" spans="1:26" ht="24" customHeight="1">
      <c r="A840" s="48" t="s">
        <v>456</v>
      </c>
      <c r="B840" s="72" t="s">
        <v>566</v>
      </c>
      <c r="C840" s="293"/>
      <c r="D840" s="280"/>
      <c r="E840" s="228">
        <f t="shared" si="290"/>
        <v>0.3</v>
      </c>
      <c r="F840" s="442"/>
      <c r="G840" s="376">
        <f t="shared" si="291"/>
        <v>0.3</v>
      </c>
      <c r="H840" s="376"/>
      <c r="I840" s="444"/>
      <c r="J840" s="376"/>
      <c r="K840" s="376"/>
      <c r="L840" s="447"/>
      <c r="M840" s="376"/>
      <c r="N840" s="444"/>
      <c r="O840" s="428">
        <v>0.3</v>
      </c>
      <c r="P840" s="377"/>
      <c r="Q840" s="377"/>
      <c r="R840" s="377"/>
      <c r="S840" s="377"/>
      <c r="T840" s="377"/>
      <c r="U840" s="377"/>
      <c r="V840" s="376"/>
      <c r="W840" s="377"/>
      <c r="X840" s="377">
        <f t="shared" si="292"/>
        <v>0</v>
      </c>
      <c r="Y840" s="222">
        <f t="shared" si="283"/>
        <v>30000</v>
      </c>
      <c r="Z840" s="223">
        <f t="shared" si="281"/>
        <v>180000</v>
      </c>
    </row>
    <row r="841" spans="1:26" ht="24" customHeight="1">
      <c r="A841" s="48" t="s">
        <v>458</v>
      </c>
      <c r="B841" s="72" t="s">
        <v>561</v>
      </c>
      <c r="C841" s="293"/>
      <c r="D841" s="280"/>
      <c r="E841" s="228">
        <f t="shared" si="290"/>
        <v>0.3</v>
      </c>
      <c r="F841" s="442"/>
      <c r="G841" s="376">
        <f t="shared" si="291"/>
        <v>0.3</v>
      </c>
      <c r="H841" s="376"/>
      <c r="I841" s="444"/>
      <c r="J841" s="376"/>
      <c r="K841" s="376"/>
      <c r="L841" s="447"/>
      <c r="M841" s="376"/>
      <c r="N841" s="444"/>
      <c r="O841" s="428">
        <v>0.3</v>
      </c>
      <c r="P841" s="377"/>
      <c r="Q841" s="377"/>
      <c r="R841" s="377"/>
      <c r="S841" s="377"/>
      <c r="T841" s="377"/>
      <c r="U841" s="377"/>
      <c r="V841" s="376"/>
      <c r="W841" s="377"/>
      <c r="X841" s="377">
        <f t="shared" si="292"/>
        <v>0</v>
      </c>
      <c r="Y841" s="222">
        <f t="shared" si="283"/>
        <v>30000</v>
      </c>
      <c r="Z841" s="223">
        <f t="shared" si="281"/>
        <v>180000</v>
      </c>
    </row>
    <row r="842" spans="1:26" ht="24" customHeight="1">
      <c r="A842" s="48" t="s">
        <v>460</v>
      </c>
      <c r="B842" s="72" t="s">
        <v>564</v>
      </c>
      <c r="C842" s="293"/>
      <c r="D842" s="280"/>
      <c r="E842" s="228">
        <f t="shared" si="290"/>
        <v>0.3</v>
      </c>
      <c r="F842" s="442"/>
      <c r="G842" s="376">
        <f t="shared" si="291"/>
        <v>0.3</v>
      </c>
      <c r="H842" s="376"/>
      <c r="I842" s="444"/>
      <c r="J842" s="376"/>
      <c r="K842" s="376"/>
      <c r="L842" s="447"/>
      <c r="M842" s="376"/>
      <c r="N842" s="444"/>
      <c r="O842" s="428">
        <v>0.3</v>
      </c>
      <c r="P842" s="377"/>
      <c r="Q842" s="377"/>
      <c r="R842" s="377"/>
      <c r="S842" s="377"/>
      <c r="T842" s="377"/>
      <c r="U842" s="377"/>
      <c r="V842" s="376"/>
      <c r="W842" s="377"/>
      <c r="X842" s="377">
        <f t="shared" si="292"/>
        <v>0</v>
      </c>
      <c r="Y842" s="222">
        <f t="shared" si="283"/>
        <v>30000</v>
      </c>
      <c r="Z842" s="223">
        <f t="shared" si="281"/>
        <v>180000</v>
      </c>
    </row>
    <row r="843" spans="1:26" ht="24" customHeight="1">
      <c r="A843" s="48" t="s">
        <v>462</v>
      </c>
      <c r="B843" s="72" t="s">
        <v>588</v>
      </c>
      <c r="C843" s="293"/>
      <c r="D843" s="280"/>
      <c r="E843" s="228">
        <f t="shared" si="290"/>
        <v>0.3</v>
      </c>
      <c r="F843" s="442"/>
      <c r="G843" s="376">
        <f t="shared" si="291"/>
        <v>0.3</v>
      </c>
      <c r="H843" s="376"/>
      <c r="I843" s="444"/>
      <c r="J843" s="376"/>
      <c r="K843" s="376"/>
      <c r="L843" s="447"/>
      <c r="M843" s="376"/>
      <c r="N843" s="444"/>
      <c r="O843" s="428">
        <v>0.3</v>
      </c>
      <c r="P843" s="377"/>
      <c r="Q843" s="377"/>
      <c r="R843" s="377"/>
      <c r="S843" s="377"/>
      <c r="T843" s="377"/>
      <c r="U843" s="377"/>
      <c r="V843" s="376"/>
      <c r="W843" s="377"/>
      <c r="X843" s="377">
        <f t="shared" si="292"/>
        <v>0</v>
      </c>
      <c r="Y843" s="222">
        <f t="shared" si="283"/>
        <v>30000</v>
      </c>
      <c r="Z843" s="223">
        <f t="shared" si="281"/>
        <v>180000</v>
      </c>
    </row>
    <row r="844" spans="1:26" ht="24" customHeight="1">
      <c r="A844" s="48" t="s">
        <v>464</v>
      </c>
      <c r="B844" s="72" t="s">
        <v>565</v>
      </c>
      <c r="C844" s="293"/>
      <c r="D844" s="280"/>
      <c r="E844" s="228">
        <f t="shared" si="290"/>
        <v>0.3</v>
      </c>
      <c r="F844" s="442"/>
      <c r="G844" s="376">
        <f t="shared" si="291"/>
        <v>0.3</v>
      </c>
      <c r="H844" s="376"/>
      <c r="I844" s="444"/>
      <c r="J844" s="376"/>
      <c r="K844" s="376"/>
      <c r="L844" s="447"/>
      <c r="M844" s="376"/>
      <c r="N844" s="444"/>
      <c r="O844" s="428">
        <v>0.3</v>
      </c>
      <c r="P844" s="377"/>
      <c r="Q844" s="377"/>
      <c r="R844" s="377"/>
      <c r="S844" s="377"/>
      <c r="T844" s="377"/>
      <c r="U844" s="377"/>
      <c r="V844" s="376"/>
      <c r="W844" s="377"/>
      <c r="X844" s="377">
        <f t="shared" si="292"/>
        <v>0</v>
      </c>
      <c r="Y844" s="222">
        <f t="shared" si="283"/>
        <v>30000</v>
      </c>
      <c r="Z844" s="223">
        <f t="shared" si="281"/>
        <v>180000</v>
      </c>
    </row>
    <row r="845" spans="1:26" ht="24" customHeight="1"/>
  </sheetData>
  <mergeCells count="17">
    <mergeCell ref="Y1:Z1"/>
    <mergeCell ref="E7:E8"/>
    <mergeCell ref="A6:A8"/>
    <mergeCell ref="E6:X6"/>
    <mergeCell ref="Z6:Z8"/>
    <mergeCell ref="B6:B8"/>
    <mergeCell ref="C6:C8"/>
    <mergeCell ref="A1:C1"/>
    <mergeCell ref="A2:C2"/>
    <mergeCell ref="A3:Z3"/>
    <mergeCell ref="A4:Z4"/>
    <mergeCell ref="X7:X8"/>
    <mergeCell ref="Y6:Y8"/>
    <mergeCell ref="F7:F8"/>
    <mergeCell ref="G7:G8"/>
    <mergeCell ref="H7:W7"/>
    <mergeCell ref="D6:D8"/>
  </mergeCells>
  <phoneticPr fontId="19" type="noConversion"/>
  <pageMargins left="0.38" right="0.2" top="0.35" bottom="0.27" header="0.28000000000000003" footer="0.23"/>
  <pageSetup paperSize="9" scale="55"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sheetPr enableFormatConditionsCalculation="0">
    <tabColor indexed="10"/>
  </sheetPr>
  <dimension ref="A1:I84"/>
  <sheetViews>
    <sheetView topLeftCell="A7" workbookViewId="0">
      <selection activeCell="B15" sqref="B15"/>
    </sheetView>
  </sheetViews>
  <sheetFormatPr defaultRowHeight="15.75"/>
  <cols>
    <col min="1" max="1" width="4.7109375" style="124" customWidth="1"/>
    <col min="2" max="2" width="24.85546875" style="124" customWidth="1"/>
    <col min="3" max="3" width="13.7109375" style="124" customWidth="1"/>
    <col min="4" max="4" width="16.28515625" style="124" customWidth="1"/>
    <col min="5" max="5" width="16.42578125" style="124" customWidth="1"/>
    <col min="6" max="6" width="13.28515625" style="124" customWidth="1"/>
    <col min="7" max="7" width="12.5703125" style="124" customWidth="1"/>
    <col min="8" max="8" width="15.7109375" style="124" customWidth="1"/>
    <col min="9" max="9" width="9.140625" style="124"/>
    <col min="10" max="10" width="10.5703125" style="124" customWidth="1"/>
    <col min="11" max="16384" width="9.140625" style="124"/>
  </cols>
  <sheetData>
    <row r="1" spans="1:9" ht="16.5">
      <c r="A1" s="467" t="s">
        <v>34</v>
      </c>
      <c r="B1" s="467"/>
      <c r="C1" s="467"/>
      <c r="H1" s="344" t="s">
        <v>655</v>
      </c>
      <c r="I1" s="178"/>
    </row>
    <row r="2" spans="1:9" ht="16.5">
      <c r="A2" s="468" t="s">
        <v>35</v>
      </c>
      <c r="B2" s="468"/>
      <c r="C2" s="468"/>
    </row>
    <row r="3" spans="1:9" s="125" customFormat="1" ht="61.5" customHeight="1">
      <c r="A3" s="478" t="s">
        <v>713</v>
      </c>
      <c r="B3" s="479"/>
      <c r="C3" s="479"/>
      <c r="D3" s="479"/>
      <c r="E3" s="479"/>
      <c r="F3" s="479"/>
      <c r="G3" s="479"/>
      <c r="H3" s="479"/>
    </row>
    <row r="4" spans="1:9" ht="23.25" customHeight="1">
      <c r="A4" s="480" t="s">
        <v>751</v>
      </c>
      <c r="B4" s="481"/>
      <c r="C4" s="481"/>
      <c r="D4" s="481"/>
      <c r="E4" s="481"/>
      <c r="F4" s="481"/>
      <c r="G4" s="481"/>
      <c r="H4" s="481"/>
    </row>
    <row r="5" spans="1:9">
      <c r="A5" s="126"/>
      <c r="B5" s="127"/>
      <c r="C5" s="127"/>
      <c r="D5" s="127"/>
      <c r="E5" s="127"/>
      <c r="F5" s="127"/>
      <c r="G5" s="127"/>
      <c r="H5" s="127"/>
    </row>
    <row r="6" spans="1:9" ht="21" customHeight="1">
      <c r="A6" s="127"/>
      <c r="B6" s="127"/>
      <c r="C6" s="127"/>
      <c r="D6" s="127"/>
      <c r="E6" s="127"/>
      <c r="G6" s="474" t="s">
        <v>41</v>
      </c>
      <c r="H6" s="474"/>
    </row>
    <row r="7" spans="1:9" ht="19.5" customHeight="1">
      <c r="A7" s="469" t="s">
        <v>5</v>
      </c>
      <c r="B7" s="469" t="s">
        <v>0</v>
      </c>
      <c r="C7" s="469" t="s">
        <v>709</v>
      </c>
      <c r="D7" s="475" t="s">
        <v>637</v>
      </c>
      <c r="E7" s="475" t="s">
        <v>710</v>
      </c>
      <c r="F7" s="469" t="s">
        <v>711</v>
      </c>
      <c r="G7" s="469" t="s">
        <v>638</v>
      </c>
      <c r="H7" s="469" t="s">
        <v>712</v>
      </c>
    </row>
    <row r="8" spans="1:9" ht="22.5" customHeight="1">
      <c r="A8" s="470" t="s">
        <v>639</v>
      </c>
      <c r="B8" s="470" t="s">
        <v>640</v>
      </c>
      <c r="C8" s="470"/>
      <c r="D8" s="476"/>
      <c r="E8" s="476"/>
      <c r="F8" s="470"/>
      <c r="G8" s="472"/>
      <c r="H8" s="470" t="s">
        <v>641</v>
      </c>
    </row>
    <row r="9" spans="1:9" ht="24.75" customHeight="1">
      <c r="A9" s="470"/>
      <c r="B9" s="470"/>
      <c r="C9" s="470"/>
      <c r="D9" s="476"/>
      <c r="E9" s="476"/>
      <c r="F9" s="470" t="s">
        <v>642</v>
      </c>
      <c r="G9" s="472"/>
      <c r="H9" s="470" t="s">
        <v>643</v>
      </c>
    </row>
    <row r="10" spans="1:9" ht="29.25" customHeight="1">
      <c r="A10" s="470"/>
      <c r="B10" s="470"/>
      <c r="C10" s="470"/>
      <c r="D10" s="476"/>
      <c r="E10" s="476"/>
      <c r="F10" s="470"/>
      <c r="G10" s="472"/>
      <c r="H10" s="470"/>
    </row>
    <row r="11" spans="1:9" ht="35.25" customHeight="1">
      <c r="A11" s="471"/>
      <c r="B11" s="471"/>
      <c r="C11" s="471"/>
      <c r="D11" s="477"/>
      <c r="E11" s="477"/>
      <c r="F11" s="471"/>
      <c r="G11" s="473"/>
      <c r="H11" s="471" t="s">
        <v>644</v>
      </c>
    </row>
    <row r="12" spans="1:9" s="130" customFormat="1" ht="33.75" customHeight="1">
      <c r="A12" s="294" t="s">
        <v>6</v>
      </c>
      <c r="B12" s="294" t="s">
        <v>7</v>
      </c>
      <c r="C12" s="294" t="s">
        <v>20</v>
      </c>
      <c r="D12" s="295" t="s">
        <v>140</v>
      </c>
      <c r="E12" s="295" t="s">
        <v>21</v>
      </c>
      <c r="F12" s="295" t="s">
        <v>645</v>
      </c>
      <c r="G12" s="295" t="s">
        <v>646</v>
      </c>
      <c r="H12" s="296" t="s">
        <v>647</v>
      </c>
      <c r="I12" s="129"/>
    </row>
    <row r="13" spans="1:9" ht="33" customHeight="1">
      <c r="A13" s="297"/>
      <c r="B13" s="298" t="s">
        <v>8</v>
      </c>
      <c r="C13" s="299">
        <f t="shared" ref="C13:H13" si="0">C14+C17+C19+C22</f>
        <v>6</v>
      </c>
      <c r="D13" s="300">
        <f>D14+D17+D19+D22</f>
        <v>10354611.8016</v>
      </c>
      <c r="E13" s="300">
        <f t="shared" si="0"/>
        <v>11174697.056286719</v>
      </c>
      <c r="F13" s="300">
        <f t="shared" si="0"/>
        <v>820085.25468671881</v>
      </c>
      <c r="G13" s="300">
        <f t="shared" si="0"/>
        <v>27000</v>
      </c>
      <c r="H13" s="300">
        <f t="shared" si="0"/>
        <v>5082511.5281203128</v>
      </c>
    </row>
    <row r="14" spans="1:9" s="134" customFormat="1" ht="33" customHeight="1">
      <c r="A14" s="21" t="s">
        <v>2</v>
      </c>
      <c r="B14" s="22" t="s">
        <v>337</v>
      </c>
      <c r="C14" s="131">
        <v>2</v>
      </c>
      <c r="D14" s="133">
        <f>D15+D16</f>
        <v>3533090.1407999997</v>
      </c>
      <c r="E14" s="133">
        <f>E15+E16</f>
        <v>3812910.8799513592</v>
      </c>
      <c r="F14" s="133">
        <f>F15+F16</f>
        <v>279820.73915135954</v>
      </c>
      <c r="G14" s="132">
        <f>G15+G16</f>
        <v>9000</v>
      </c>
      <c r="H14" s="132">
        <f>H15+H16</f>
        <v>1732924.4349081572</v>
      </c>
    </row>
    <row r="15" spans="1:9" s="134" customFormat="1" ht="36.75" customHeight="1">
      <c r="A15" s="23" t="s">
        <v>20</v>
      </c>
      <c r="B15" s="24" t="s">
        <v>334</v>
      </c>
      <c r="C15" s="301"/>
      <c r="D15" s="302">
        <v>1766545.0703999999</v>
      </c>
      <c r="E15" s="303">
        <f>D15*1.0792</f>
        <v>1906455.4399756796</v>
      </c>
      <c r="F15" s="303">
        <f>E15-D15</f>
        <v>139910.36957567977</v>
      </c>
      <c r="G15" s="304">
        <f>100000*4.5%</f>
        <v>4500</v>
      </c>
      <c r="H15" s="305">
        <f>(F15+G15)*6</f>
        <v>866462.21745407861</v>
      </c>
    </row>
    <row r="16" spans="1:9" s="134" customFormat="1" ht="36.75" customHeight="1">
      <c r="A16" s="25">
        <v>2</v>
      </c>
      <c r="B16" s="26" t="s">
        <v>335</v>
      </c>
      <c r="C16" s="301"/>
      <c r="D16" s="302">
        <v>1766545.0703999999</v>
      </c>
      <c r="E16" s="303">
        <f>D16*1.0792</f>
        <v>1906455.4399756796</v>
      </c>
      <c r="F16" s="303">
        <f>E16-D16</f>
        <v>139910.36957567977</v>
      </c>
      <c r="G16" s="304">
        <f>100000*4.5%</f>
        <v>4500</v>
      </c>
      <c r="H16" s="305">
        <f>(F16+G16)*6</f>
        <v>866462.21745407861</v>
      </c>
    </row>
    <row r="17" spans="1:8" s="134" customFormat="1" ht="36.75" customHeight="1">
      <c r="A17" s="27" t="s">
        <v>3</v>
      </c>
      <c r="B17" s="22" t="s">
        <v>508</v>
      </c>
      <c r="C17" s="135">
        <v>1</v>
      </c>
      <c r="D17" s="136">
        <f>D18</f>
        <v>1644215.76</v>
      </c>
      <c r="E17" s="136">
        <f>E18</f>
        <v>1774437.6481919999</v>
      </c>
      <c r="F17" s="136">
        <f>F18</f>
        <v>130221.88819199987</v>
      </c>
      <c r="G17" s="136">
        <f>G18</f>
        <v>4500</v>
      </c>
      <c r="H17" s="136">
        <f>H18</f>
        <v>808331.32915199921</v>
      </c>
    </row>
    <row r="18" spans="1:8" s="134" customFormat="1" ht="36.75" customHeight="1">
      <c r="A18" s="2">
        <v>1</v>
      </c>
      <c r="B18" s="12" t="s">
        <v>523</v>
      </c>
      <c r="C18" s="137"/>
      <c r="D18" s="138">
        <v>1644215.76</v>
      </c>
      <c r="E18" s="303">
        <f>D18*1.0792</f>
        <v>1774437.6481919999</v>
      </c>
      <c r="F18" s="139">
        <f>E18-D18</f>
        <v>130221.88819199987</v>
      </c>
      <c r="G18" s="304">
        <f>100000*4.5%</f>
        <v>4500</v>
      </c>
      <c r="H18" s="305">
        <f>(F18+G18)*6</f>
        <v>808331.32915199921</v>
      </c>
    </row>
    <row r="19" spans="1:8" s="134" customFormat="1" ht="36.75" customHeight="1">
      <c r="A19" s="306" t="s">
        <v>4</v>
      </c>
      <c r="B19" s="45" t="s">
        <v>468</v>
      </c>
      <c r="C19" s="131">
        <v>2</v>
      </c>
      <c r="D19" s="133">
        <f>D20+D21</f>
        <v>3533090.1407999997</v>
      </c>
      <c r="E19" s="133">
        <f>E20+E21</f>
        <v>3812910.8799513592</v>
      </c>
      <c r="F19" s="133">
        <f>F20+F21</f>
        <v>279820.73915135954</v>
      </c>
      <c r="G19" s="133">
        <f>G20+G21</f>
        <v>9000</v>
      </c>
      <c r="H19" s="133">
        <f>H20+H21</f>
        <v>1732924.4349081572</v>
      </c>
    </row>
    <row r="20" spans="1:8" s="134" customFormat="1" ht="36.75" customHeight="1">
      <c r="A20" s="307">
        <v>1</v>
      </c>
      <c r="B20" s="308" t="s">
        <v>541</v>
      </c>
      <c r="C20" s="301"/>
      <c r="D20" s="302">
        <v>1766545.0703999999</v>
      </c>
      <c r="E20" s="303">
        <f>D20*1.0792</f>
        <v>1906455.4399756796</v>
      </c>
      <c r="F20" s="303">
        <f>E20-D20</f>
        <v>139910.36957567977</v>
      </c>
      <c r="G20" s="304">
        <f>100000*4.5%</f>
        <v>4500</v>
      </c>
      <c r="H20" s="305">
        <f>(F20+G20)*6</f>
        <v>866462.21745407861</v>
      </c>
    </row>
    <row r="21" spans="1:8" s="134" customFormat="1" ht="36.75" customHeight="1">
      <c r="A21" s="307">
        <v>2</v>
      </c>
      <c r="B21" s="308" t="s">
        <v>542</v>
      </c>
      <c r="C21" s="301"/>
      <c r="D21" s="302">
        <v>1766545.0703999999</v>
      </c>
      <c r="E21" s="303">
        <f>D21*1.0792</f>
        <v>1906455.4399756796</v>
      </c>
      <c r="F21" s="303">
        <f>E21-D21</f>
        <v>139910.36957567977</v>
      </c>
      <c r="G21" s="304">
        <f>100000*4.5%</f>
        <v>4500</v>
      </c>
      <c r="H21" s="305">
        <f>(F21+G21)*6</f>
        <v>866462.21745407861</v>
      </c>
    </row>
    <row r="22" spans="1:8" s="134" customFormat="1" ht="36.75" customHeight="1">
      <c r="A22" s="306" t="s">
        <v>59</v>
      </c>
      <c r="B22" s="309" t="s">
        <v>469</v>
      </c>
      <c r="C22" s="310">
        <v>1</v>
      </c>
      <c r="D22" s="311">
        <f>D23</f>
        <v>1644215.76</v>
      </c>
      <c r="E22" s="311">
        <f>E23</f>
        <v>1774437.6481919999</v>
      </c>
      <c r="F22" s="311">
        <f>F23</f>
        <v>130221.88819199987</v>
      </c>
      <c r="G22" s="311">
        <f>G23</f>
        <v>4500</v>
      </c>
      <c r="H22" s="311">
        <f>H23</f>
        <v>808331.32915199921</v>
      </c>
    </row>
    <row r="23" spans="1:8" s="134" customFormat="1" ht="36.75" customHeight="1">
      <c r="A23" s="307">
        <v>1</v>
      </c>
      <c r="B23" s="308" t="s">
        <v>543</v>
      </c>
      <c r="C23" s="140"/>
      <c r="D23" s="141">
        <v>1644215.76</v>
      </c>
      <c r="E23" s="303">
        <f>D23*1.0792</f>
        <v>1774437.6481919999</v>
      </c>
      <c r="F23" s="142">
        <f>E23-D23</f>
        <v>130221.88819199987</v>
      </c>
      <c r="G23" s="304">
        <f>100000*4.5%</f>
        <v>4500</v>
      </c>
      <c r="H23" s="305">
        <f>(F23+G23)*6</f>
        <v>808331.32915199921</v>
      </c>
    </row>
    <row r="24" spans="1:8" ht="18" customHeight="1">
      <c r="A24" s="134"/>
      <c r="B24" s="143"/>
      <c r="C24" s="128"/>
      <c r="D24" s="144"/>
      <c r="E24" s="145"/>
      <c r="F24" s="145"/>
      <c r="G24" s="145"/>
      <c r="H24" s="146"/>
    </row>
    <row r="38" spans="2:2" ht="16.5">
      <c r="B38" s="147"/>
    </row>
    <row r="50" spans="2:2" ht="16.5">
      <c r="B50" s="148"/>
    </row>
    <row r="74" spans="2:2" ht="16.5">
      <c r="B74" s="149"/>
    </row>
    <row r="82" spans="2:2" ht="31.5" customHeight="1">
      <c r="B82" s="150"/>
    </row>
    <row r="83" spans="2:2">
      <c r="B83" s="150"/>
    </row>
    <row r="84" spans="2:2">
      <c r="B84" s="150"/>
    </row>
  </sheetData>
  <mergeCells count="13">
    <mergeCell ref="A1:C1"/>
    <mergeCell ref="A2:C2"/>
    <mergeCell ref="A3:H3"/>
    <mergeCell ref="A4:H4"/>
    <mergeCell ref="F7:F11"/>
    <mergeCell ref="G7:G11"/>
    <mergeCell ref="H7:H11"/>
    <mergeCell ref="G6:H6"/>
    <mergeCell ref="E7:E11"/>
    <mergeCell ref="A7:A11"/>
    <mergeCell ref="B7:B11"/>
    <mergeCell ref="C7:C11"/>
    <mergeCell ref="D7:D11"/>
  </mergeCells>
  <phoneticPr fontId="0" type="noConversion"/>
  <printOptions horizontalCentered="1"/>
  <pageMargins left="0.45" right="0.11811023622047245" top="0.4" bottom="0.15748031496062992" header="0.45"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sheetPr enableFormatConditionsCalculation="0">
    <tabColor indexed="10"/>
  </sheetPr>
  <dimension ref="A1:L74"/>
  <sheetViews>
    <sheetView topLeftCell="A58" workbookViewId="0">
      <selection activeCell="H28" sqref="H28"/>
    </sheetView>
  </sheetViews>
  <sheetFormatPr defaultRowHeight="18"/>
  <cols>
    <col min="1" max="1" width="7.140625" style="315" customWidth="1"/>
    <col min="2" max="2" width="34.42578125" style="314" customWidth="1"/>
    <col min="3" max="3" width="20.28515625" style="314" customWidth="1"/>
    <col min="4" max="4" width="17.85546875" style="314" customWidth="1"/>
    <col min="5" max="5" width="18.85546875" style="314" customWidth="1"/>
    <col min="6" max="6" width="17.7109375" style="314" customWidth="1"/>
    <col min="7" max="7" width="19.5703125" style="314" customWidth="1"/>
    <col min="8" max="8" width="18" style="314" customWidth="1"/>
    <col min="9" max="9" width="17" style="314" customWidth="1"/>
    <col min="10" max="11" width="9.140625" style="314"/>
    <col min="12" max="12" width="16.7109375" style="314" customWidth="1"/>
    <col min="13" max="16384" width="9.140625" style="314"/>
  </cols>
  <sheetData>
    <row r="1" spans="1:12">
      <c r="A1" s="509" t="s">
        <v>38</v>
      </c>
      <c r="B1" s="509"/>
      <c r="C1" s="509"/>
      <c r="I1" s="344" t="s">
        <v>758</v>
      </c>
    </row>
    <row r="2" spans="1:12">
      <c r="A2" s="510" t="s">
        <v>35</v>
      </c>
      <c r="B2" s="510"/>
      <c r="C2" s="510"/>
    </row>
    <row r="4" spans="1:12" ht="24" customHeight="1">
      <c r="A4" s="511" t="s">
        <v>721</v>
      </c>
      <c r="B4" s="512"/>
      <c r="C4" s="512"/>
      <c r="D4" s="512"/>
      <c r="E4" s="512"/>
      <c r="F4" s="512"/>
      <c r="G4" s="512"/>
      <c r="H4" s="512"/>
      <c r="I4" s="512"/>
    </row>
    <row r="5" spans="1:12" ht="16.5" customHeight="1">
      <c r="A5" s="513" t="s">
        <v>759</v>
      </c>
      <c r="B5" s="513"/>
      <c r="C5" s="513"/>
      <c r="D5" s="513"/>
      <c r="E5" s="513"/>
      <c r="F5" s="513"/>
      <c r="G5" s="513"/>
      <c r="H5" s="513"/>
      <c r="I5" s="513"/>
    </row>
    <row r="6" spans="1:12" ht="27" customHeight="1">
      <c r="A6" s="316"/>
      <c r="I6" s="317"/>
    </row>
    <row r="7" spans="1:12" s="318" customFormat="1" ht="26.25" customHeight="1">
      <c r="A7" s="484" t="s">
        <v>5</v>
      </c>
      <c r="B7" s="482" t="s">
        <v>0</v>
      </c>
      <c r="C7" s="488" t="s">
        <v>8</v>
      </c>
      <c r="D7" s="489"/>
      <c r="E7" s="489"/>
      <c r="F7" s="489"/>
      <c r="G7" s="489"/>
      <c r="H7" s="489"/>
      <c r="I7" s="490"/>
    </row>
    <row r="8" spans="1:12" s="318" customFormat="1" ht="11.25" customHeight="1">
      <c r="A8" s="485"/>
      <c r="B8" s="486"/>
      <c r="C8" s="482" t="s">
        <v>722</v>
      </c>
      <c r="D8" s="491" t="s">
        <v>723</v>
      </c>
      <c r="E8" s="492"/>
      <c r="F8" s="493"/>
      <c r="G8" s="494"/>
      <c r="H8" s="501" t="s">
        <v>724</v>
      </c>
      <c r="I8" s="504" t="s">
        <v>725</v>
      </c>
    </row>
    <row r="9" spans="1:12" s="318" customFormat="1" ht="9.75" customHeight="1">
      <c r="A9" s="485"/>
      <c r="B9" s="486"/>
      <c r="C9" s="485"/>
      <c r="D9" s="495"/>
      <c r="E9" s="496"/>
      <c r="F9" s="496"/>
      <c r="G9" s="497"/>
      <c r="H9" s="502"/>
      <c r="I9" s="505"/>
    </row>
    <row r="10" spans="1:12" s="318" customFormat="1" ht="7.5" customHeight="1">
      <c r="A10" s="485"/>
      <c r="B10" s="486"/>
      <c r="C10" s="485"/>
      <c r="D10" s="498"/>
      <c r="E10" s="499"/>
      <c r="F10" s="499"/>
      <c r="G10" s="500"/>
      <c r="H10" s="502"/>
      <c r="I10" s="505"/>
    </row>
    <row r="11" spans="1:12" s="318" customFormat="1" ht="69" customHeight="1">
      <c r="A11" s="485"/>
      <c r="B11" s="486"/>
      <c r="C11" s="485"/>
      <c r="D11" s="507" t="s">
        <v>726</v>
      </c>
      <c r="E11" s="482" t="s">
        <v>727</v>
      </c>
      <c r="F11" s="482" t="s">
        <v>728</v>
      </c>
      <c r="G11" s="482" t="s">
        <v>729</v>
      </c>
      <c r="H11" s="502"/>
      <c r="I11" s="505"/>
    </row>
    <row r="12" spans="1:12" s="318" customFormat="1" ht="60.75" customHeight="1">
      <c r="A12" s="483"/>
      <c r="B12" s="487"/>
      <c r="C12" s="483"/>
      <c r="D12" s="508"/>
      <c r="E12" s="483"/>
      <c r="F12" s="483"/>
      <c r="G12" s="483"/>
      <c r="H12" s="503"/>
      <c r="I12" s="506"/>
    </row>
    <row r="13" spans="1:12" s="323" customFormat="1" ht="15.75">
      <c r="A13" s="322" t="s">
        <v>6</v>
      </c>
      <c r="B13" s="322" t="s">
        <v>7</v>
      </c>
      <c r="C13" s="322">
        <v>1</v>
      </c>
      <c r="D13" s="322" t="s">
        <v>730</v>
      </c>
      <c r="E13" s="322">
        <v>3</v>
      </c>
      <c r="F13" s="322">
        <v>4</v>
      </c>
      <c r="G13" s="322">
        <v>5</v>
      </c>
      <c r="H13" s="322" t="s">
        <v>731</v>
      </c>
      <c r="I13" s="322" t="s">
        <v>732</v>
      </c>
    </row>
    <row r="14" spans="1:12" s="323" customFormat="1" ht="21" customHeight="1">
      <c r="A14" s="324"/>
      <c r="B14" s="325" t="s">
        <v>8</v>
      </c>
      <c r="C14" s="319">
        <f t="shared" ref="C14:I14" si="0">C15+C61</f>
        <v>4134824094.568121</v>
      </c>
      <c r="D14" s="319">
        <f t="shared" si="0"/>
        <v>4954590317</v>
      </c>
      <c r="E14" s="319">
        <f t="shared" si="0"/>
        <v>1757956409</v>
      </c>
      <c r="F14" s="319">
        <f>F15+F61</f>
        <v>1926494908</v>
      </c>
      <c r="G14" s="319">
        <f t="shared" si="0"/>
        <v>1270139000</v>
      </c>
      <c r="H14" s="319">
        <f>H15+H61</f>
        <v>1990591598.3691523</v>
      </c>
      <c r="I14" s="319">
        <f t="shared" si="0"/>
        <v>2810357820.8010316</v>
      </c>
      <c r="L14" s="347">
        <f ca="1">H14-'Bieu giao'!E11</f>
        <v>1276682.3291521072</v>
      </c>
    </row>
    <row r="15" spans="1:12" s="323" customFormat="1" ht="21.95" customHeight="1">
      <c r="A15" s="324" t="s">
        <v>6</v>
      </c>
      <c r="B15" s="326" t="s">
        <v>733</v>
      </c>
      <c r="C15" s="319">
        <f t="shared" ref="C15:I15" si="1">C16+C28+C40+C52</f>
        <v>3539915093.0400004</v>
      </c>
      <c r="D15" s="319">
        <f t="shared" si="1"/>
        <v>1860927560</v>
      </c>
      <c r="E15" s="319">
        <f t="shared" si="1"/>
        <v>408978072</v>
      </c>
      <c r="F15" s="319">
        <f>F16+F28+F40+F52</f>
        <v>577049488</v>
      </c>
      <c r="G15" s="319">
        <f t="shared" si="1"/>
        <v>874900000</v>
      </c>
      <c r="H15" s="319">
        <f t="shared" si="1"/>
        <v>1989314916.0400002</v>
      </c>
      <c r="I15" s="319">
        <f t="shared" si="1"/>
        <v>310327383</v>
      </c>
    </row>
    <row r="16" spans="1:12" s="323" customFormat="1" ht="21.95" customHeight="1">
      <c r="A16" s="3" t="s">
        <v>2</v>
      </c>
      <c r="B16" s="20" t="s">
        <v>245</v>
      </c>
      <c r="C16" s="327">
        <f t="shared" ref="C16:I16" si="2">SUM(C17:C27)</f>
        <v>172570845</v>
      </c>
      <c r="D16" s="327">
        <f t="shared" si="2"/>
        <v>106253380</v>
      </c>
      <c r="E16" s="327">
        <f t="shared" si="2"/>
        <v>27053380</v>
      </c>
      <c r="F16" s="327">
        <f t="shared" si="2"/>
        <v>0</v>
      </c>
      <c r="G16" s="327">
        <f t="shared" si="2"/>
        <v>79200000</v>
      </c>
      <c r="H16" s="327">
        <f t="shared" si="2"/>
        <v>72908874</v>
      </c>
      <c r="I16" s="327">
        <f t="shared" si="2"/>
        <v>6591409</v>
      </c>
    </row>
    <row r="17" spans="1:9" s="323" customFormat="1" ht="21.95" customHeight="1">
      <c r="A17" s="2">
        <v>1</v>
      </c>
      <c r="B17" s="16" t="str">
        <f>'[2]Đang, CQ, ĐThể, ĐVSN huyen'!B12</f>
        <v>Phòng Nội vụ</v>
      </c>
      <c r="C17" s="312">
        <f ca="1">'Bieu 01'!Z12</f>
        <v>16930050</v>
      </c>
      <c r="D17" s="312">
        <f>SUM(E17:G17)</f>
        <v>10652772</v>
      </c>
      <c r="E17" s="312">
        <v>2252772</v>
      </c>
      <c r="F17" s="312"/>
      <c r="G17" s="312">
        <v>8400000</v>
      </c>
      <c r="H17" s="312">
        <f>IF(C17&gt;D17,C17-D17,0)</f>
        <v>6277278</v>
      </c>
      <c r="I17" s="312">
        <f>IF(D17&gt;C17,D17-C17,0)</f>
        <v>0</v>
      </c>
    </row>
    <row r="18" spans="1:9" s="323" customFormat="1" ht="21.95" customHeight="1">
      <c r="A18" s="328">
        <v>2</v>
      </c>
      <c r="B18" s="329" t="str">
        <f>'[2]Đang, CQ, ĐThể, ĐVSN huyen'!B19</f>
        <v>Thanh tra huyện</v>
      </c>
      <c r="C18" s="312">
        <f ca="1">'Bieu 01'!Z19</f>
        <v>16527195</v>
      </c>
      <c r="D18" s="312">
        <f t="shared" ref="D18:D69" si="3">SUM(E18:G18)</f>
        <v>8022174</v>
      </c>
      <c r="E18" s="312">
        <v>822174</v>
      </c>
      <c r="F18" s="312"/>
      <c r="G18" s="312">
        <v>7200000</v>
      </c>
      <c r="H18" s="312">
        <f>IF(C18&gt;D18,C18-D18,0)</f>
        <v>8505021</v>
      </c>
      <c r="I18" s="312">
        <f>IF(D18&gt;C18,D18-C18,0)</f>
        <v>0</v>
      </c>
    </row>
    <row r="19" spans="1:9" s="323" customFormat="1" ht="21.95" customHeight="1">
      <c r="A19" s="328">
        <v>3</v>
      </c>
      <c r="B19" s="329" t="str">
        <f>'[2]Đang, CQ, ĐThể, ĐVSN huyen'!B25</f>
        <v>Phòng Tài nguyên và Môi trường</v>
      </c>
      <c r="C19" s="312">
        <f ca="1">'Bieu 01'!Z25</f>
        <v>20487750</v>
      </c>
      <c r="D19" s="312">
        <f t="shared" si="3"/>
        <v>10125681</v>
      </c>
      <c r="E19" s="321">
        <v>525681</v>
      </c>
      <c r="F19" s="312"/>
      <c r="G19" s="312">
        <v>9600000</v>
      </c>
      <c r="H19" s="312">
        <f>IF(C19&gt;D19,C19-D19,0)</f>
        <v>10362069</v>
      </c>
      <c r="I19" s="312">
        <f>IF(D19&gt;C19,D19-C19,0)</f>
        <v>0</v>
      </c>
    </row>
    <row r="20" spans="1:9" s="323" customFormat="1" ht="21.95" customHeight="1">
      <c r="A20" s="2">
        <v>4</v>
      </c>
      <c r="B20" s="329" t="str">
        <f>'[2]Đang, CQ, ĐThể, ĐVSN huyen'!B33</f>
        <v>Phòng Văn Hóa - Thông tin</v>
      </c>
      <c r="C20" s="312">
        <f ca="1">'Bieu 01'!Z33</f>
        <v>9257250</v>
      </c>
      <c r="D20" s="312">
        <f t="shared" si="3"/>
        <v>6730297</v>
      </c>
      <c r="E20" s="312">
        <v>1930297</v>
      </c>
      <c r="F20" s="312"/>
      <c r="G20" s="312">
        <v>4800000</v>
      </c>
      <c r="H20" s="312">
        <f>IF(C20&gt;D20,C20-D20,0)</f>
        <v>2526953</v>
      </c>
      <c r="I20" s="312">
        <f>IF(D20&gt;C20,D20-C20,0)</f>
        <v>0</v>
      </c>
    </row>
    <row r="21" spans="1:9" s="323" customFormat="1" ht="21.95" customHeight="1">
      <c r="A21" s="328">
        <v>5</v>
      </c>
      <c r="B21" s="329" t="str">
        <f>'[2]Đang, CQ, ĐThể, ĐVSN huyen'!B39</f>
        <v>Phòng Nông nghiệp và Phát triển nông thôn</v>
      </c>
      <c r="C21" s="312">
        <f ca="1">'Bieu 01'!Z39</f>
        <v>15460950</v>
      </c>
      <c r="D21" s="312">
        <f t="shared" si="3"/>
        <v>22052359</v>
      </c>
      <c r="E21" s="312">
        <v>16052359</v>
      </c>
      <c r="F21" s="312"/>
      <c r="G21" s="312">
        <v>6000000</v>
      </c>
      <c r="H21" s="312">
        <f>IF(C21&gt;D21,C21-D21,0)</f>
        <v>0</v>
      </c>
      <c r="I21" s="312">
        <f>IF(D21&gt;C21,D21-C21,0)</f>
        <v>6591409</v>
      </c>
    </row>
    <row r="22" spans="1:9" s="323" customFormat="1" ht="21.95" customHeight="1">
      <c r="A22" s="328">
        <v>6</v>
      </c>
      <c r="B22" s="329" t="str">
        <f>'[2]Đang, CQ, ĐThể, ĐVSN huyen'!B45</f>
        <v>Phòng Tư pháp</v>
      </c>
      <c r="C22" s="312">
        <f ca="1">'Bieu 01'!Z45</f>
        <v>10637700</v>
      </c>
      <c r="D22" s="312">
        <f t="shared" si="3"/>
        <v>9055913</v>
      </c>
      <c r="E22" s="312">
        <v>4255913</v>
      </c>
      <c r="F22" s="312"/>
      <c r="G22" s="312">
        <v>4800000</v>
      </c>
      <c r="H22" s="312">
        <f t="shared" ref="H22:H27" si="4">IF(C22&gt;D22,C22-D22,0)</f>
        <v>1581787</v>
      </c>
      <c r="I22" s="312">
        <f t="shared" ref="I22:I27" si="5">IF(D22&gt;C22,D22-C22,0)</f>
        <v>0</v>
      </c>
    </row>
    <row r="23" spans="1:9" s="323" customFormat="1" ht="21.95" customHeight="1">
      <c r="A23" s="2">
        <v>7</v>
      </c>
      <c r="B23" s="329" t="str">
        <f>'[2]Đang, CQ, ĐThể, ĐVSN huyen'!B50</f>
        <v>Phòng Tài chính - Kế hoạch</v>
      </c>
      <c r="C23" s="312">
        <f ca="1">'Bieu 01'!Z50</f>
        <v>18009750</v>
      </c>
      <c r="D23" s="312">
        <f t="shared" si="3"/>
        <v>10800000</v>
      </c>
      <c r="E23" s="312"/>
      <c r="F23" s="312"/>
      <c r="G23" s="312">
        <v>10800000</v>
      </c>
      <c r="H23" s="312">
        <f t="shared" si="4"/>
        <v>7209750</v>
      </c>
      <c r="I23" s="312">
        <f t="shared" si="5"/>
        <v>0</v>
      </c>
    </row>
    <row r="24" spans="1:9" s="323" customFormat="1" ht="21.95" customHeight="1">
      <c r="A24" s="328">
        <v>8</v>
      </c>
      <c r="B24" s="329" t="str">
        <f>'[2]Đang, CQ, ĐThể, ĐVSN huyen'!B57</f>
        <v>Phòng Kinh tế - Hạ tầng</v>
      </c>
      <c r="C24" s="312">
        <f ca="1">'Bieu 01'!Z57</f>
        <v>15806100</v>
      </c>
      <c r="D24" s="312">
        <f t="shared" si="3"/>
        <v>9600000</v>
      </c>
      <c r="E24" s="312"/>
      <c r="F24" s="312"/>
      <c r="G24" s="312">
        <v>9600000</v>
      </c>
      <c r="H24" s="312">
        <f t="shared" si="4"/>
        <v>6206100</v>
      </c>
      <c r="I24" s="312">
        <f t="shared" si="5"/>
        <v>0</v>
      </c>
    </row>
    <row r="25" spans="1:9" s="323" customFormat="1" ht="21.95" customHeight="1">
      <c r="A25" s="328">
        <v>9</v>
      </c>
      <c r="B25" s="329" t="str">
        <f>'[2]Đang, CQ, ĐThể, ĐVSN huyen'!B64</f>
        <v>Phòng Lao động - Thương binh và Xã hội</v>
      </c>
      <c r="C25" s="312">
        <f ca="1">'Bieu 01'!Z64</f>
        <v>14352750.000000002</v>
      </c>
      <c r="D25" s="312">
        <f t="shared" si="3"/>
        <v>9169946</v>
      </c>
      <c r="E25" s="321">
        <v>769946</v>
      </c>
      <c r="F25" s="312"/>
      <c r="G25" s="312">
        <v>8400000</v>
      </c>
      <c r="H25" s="312">
        <f t="shared" si="4"/>
        <v>5182804.0000000019</v>
      </c>
      <c r="I25" s="312">
        <f t="shared" si="5"/>
        <v>0</v>
      </c>
    </row>
    <row r="26" spans="1:9" s="323" customFormat="1" ht="21.95" customHeight="1">
      <c r="A26" s="2">
        <v>10</v>
      </c>
      <c r="B26" s="329" t="str">
        <f>'[2]Đang, CQ, ĐThể, ĐVSN huyen'!B70</f>
        <v>Phòng Giáo dục và Đào tạo</v>
      </c>
      <c r="C26" s="312">
        <f ca="1">'Bieu 01'!Z70</f>
        <v>21457350</v>
      </c>
      <c r="D26" s="312">
        <f t="shared" si="3"/>
        <v>10044238</v>
      </c>
      <c r="E26" s="312">
        <v>444238</v>
      </c>
      <c r="F26" s="312"/>
      <c r="G26" s="312">
        <v>9600000</v>
      </c>
      <c r="H26" s="312">
        <f t="shared" si="4"/>
        <v>11413112</v>
      </c>
      <c r="I26" s="312">
        <f t="shared" si="5"/>
        <v>0</v>
      </c>
    </row>
    <row r="27" spans="1:9" s="323" customFormat="1" ht="21.95" customHeight="1">
      <c r="A27" s="328">
        <v>11</v>
      </c>
      <c r="B27" s="329" t="str">
        <f>'[2]Đang, CQ, ĐThể, ĐVSN huyen'!B77</f>
        <v>Ban Chỉ huy quân sự huyện</v>
      </c>
      <c r="C27" s="312">
        <f>'[2]Đang, CQ, ĐThể, ĐVSN huyen'!Z77</f>
        <v>13644000</v>
      </c>
      <c r="D27" s="312">
        <f t="shared" si="3"/>
        <v>0</v>
      </c>
      <c r="E27" s="312"/>
      <c r="F27" s="312"/>
      <c r="G27" s="312"/>
      <c r="H27" s="312">
        <f t="shared" si="4"/>
        <v>13644000</v>
      </c>
      <c r="I27" s="312">
        <f t="shared" si="5"/>
        <v>0</v>
      </c>
    </row>
    <row r="28" spans="1:9" s="323" customFormat="1" ht="21.95" customHeight="1">
      <c r="A28" s="27" t="s">
        <v>3</v>
      </c>
      <c r="B28" s="59" t="s">
        <v>246</v>
      </c>
      <c r="C28" s="319">
        <f>SUM(C32:C39)+C29</f>
        <v>209488425.30000001</v>
      </c>
      <c r="D28" s="319">
        <f t="shared" ref="D28:I28" si="6">SUM(D32:D39)+D29</f>
        <v>57600000</v>
      </c>
      <c r="E28" s="319">
        <f t="shared" si="6"/>
        <v>0</v>
      </c>
      <c r="F28" s="319">
        <f t="shared" si="6"/>
        <v>0</v>
      </c>
      <c r="G28" s="319">
        <f t="shared" si="6"/>
        <v>57600000</v>
      </c>
      <c r="H28" s="319">
        <f t="shared" si="6"/>
        <v>151888425.30000001</v>
      </c>
      <c r="I28" s="319">
        <f t="shared" si="6"/>
        <v>0</v>
      </c>
    </row>
    <row r="29" spans="1:9" s="323" customFormat="1" ht="21.95" customHeight="1">
      <c r="A29" s="330">
        <v>1</v>
      </c>
      <c r="B29" s="331" t="str">
        <f>'[2]Đang, CQ, ĐThể, ĐVSN huyen'!B90</f>
        <v>Văn phòng Cấp ủy và Chính quyền huyện (chủ tài khoản)</v>
      </c>
      <c r="C29" s="312">
        <f>C30+C31</f>
        <v>112646860.80000001</v>
      </c>
      <c r="D29" s="312">
        <f t="shared" ref="D29:I29" si="7">D30+D31</f>
        <v>36000000</v>
      </c>
      <c r="E29" s="312">
        <f t="shared" si="7"/>
        <v>0</v>
      </c>
      <c r="F29" s="312">
        <f t="shared" si="7"/>
        <v>0</v>
      </c>
      <c r="G29" s="312">
        <f t="shared" si="7"/>
        <v>36000000</v>
      </c>
      <c r="H29" s="312">
        <f t="shared" si="7"/>
        <v>76646860.800000012</v>
      </c>
      <c r="I29" s="312">
        <f t="shared" si="7"/>
        <v>0</v>
      </c>
    </row>
    <row r="30" spans="1:9" s="323" customFormat="1" ht="21.95" customHeight="1">
      <c r="A30" s="330" t="s">
        <v>735</v>
      </c>
      <c r="B30" s="331" t="s">
        <v>741</v>
      </c>
      <c r="C30" s="312">
        <f ca="1">'Bieu 01'!Z91</f>
        <v>75495750</v>
      </c>
      <c r="D30" s="312">
        <f t="shared" si="3"/>
        <v>26400000</v>
      </c>
      <c r="E30" s="312"/>
      <c r="F30" s="312"/>
      <c r="G30" s="312">
        <v>26400000</v>
      </c>
      <c r="H30" s="312">
        <f t="shared" ref="H30:H39" si="8">IF(C30&gt;D30,C30-D30,0)</f>
        <v>49095750</v>
      </c>
      <c r="I30" s="312">
        <f t="shared" ref="I30:I39" si="9">IF(D30&gt;C30,D30-C30,0)</f>
        <v>0</v>
      </c>
    </row>
    <row r="31" spans="1:9" s="323" customFormat="1" ht="21.95" customHeight="1">
      <c r="A31" s="330" t="s">
        <v>735</v>
      </c>
      <c r="B31" s="49" t="s">
        <v>742</v>
      </c>
      <c r="C31" s="312">
        <f ca="1">'Bieu 01'!Z113</f>
        <v>37151110.800000004</v>
      </c>
      <c r="D31" s="312">
        <f t="shared" si="3"/>
        <v>9600000</v>
      </c>
      <c r="E31" s="312"/>
      <c r="F31" s="312"/>
      <c r="G31" s="312">
        <v>9600000</v>
      </c>
      <c r="H31" s="312">
        <f t="shared" si="8"/>
        <v>27551110.800000004</v>
      </c>
      <c r="I31" s="312">
        <f t="shared" si="9"/>
        <v>0</v>
      </c>
    </row>
    <row r="32" spans="1:9" s="323" customFormat="1" ht="21.95" customHeight="1">
      <c r="A32" s="330">
        <v>2</v>
      </c>
      <c r="B32" s="331" t="str">
        <f>'[2]Đang, CQ, ĐThể, ĐVSN huyen'!B122</f>
        <v>Ban Tổ chức</v>
      </c>
      <c r="C32" s="312">
        <f ca="1">'Bieu 01'!Z122</f>
        <v>25964400</v>
      </c>
      <c r="D32" s="312">
        <f t="shared" si="3"/>
        <v>6000000</v>
      </c>
      <c r="E32" s="312"/>
      <c r="F32" s="312"/>
      <c r="G32" s="312">
        <v>6000000</v>
      </c>
      <c r="H32" s="312">
        <f t="shared" si="8"/>
        <v>19964400</v>
      </c>
      <c r="I32" s="312">
        <f t="shared" si="9"/>
        <v>0</v>
      </c>
    </row>
    <row r="33" spans="1:12" s="323" customFormat="1" ht="21.95" customHeight="1">
      <c r="A33" s="330">
        <v>3</v>
      </c>
      <c r="B33" s="331" t="str">
        <f>'[2]Đang, CQ, ĐThể, ĐVSN huyen'!B129</f>
        <v>Ủy ban kiểm tra</v>
      </c>
      <c r="C33" s="312">
        <f ca="1">'Bieu 01'!Z129</f>
        <v>18757555.5</v>
      </c>
      <c r="D33" s="312">
        <f t="shared" si="3"/>
        <v>6000000</v>
      </c>
      <c r="E33" s="312"/>
      <c r="F33" s="312"/>
      <c r="G33" s="312">
        <v>6000000</v>
      </c>
      <c r="H33" s="312">
        <f t="shared" si="8"/>
        <v>12757555.5</v>
      </c>
      <c r="I33" s="312">
        <f t="shared" si="9"/>
        <v>0</v>
      </c>
    </row>
    <row r="34" spans="1:12" s="323" customFormat="1" ht="21.95" customHeight="1">
      <c r="A34" s="330">
        <v>4</v>
      </c>
      <c r="B34" s="331" t="str">
        <f>'[2]Đang, CQ, ĐThể, ĐVSN huyen'!B134</f>
        <v>Ban Tuyên giáo</v>
      </c>
      <c r="C34" s="312">
        <f ca="1">'Bieu 01'!Z134</f>
        <v>16990500</v>
      </c>
      <c r="D34" s="312">
        <f t="shared" si="3"/>
        <v>4800000</v>
      </c>
      <c r="E34" s="312"/>
      <c r="F34" s="312"/>
      <c r="G34" s="312">
        <v>4800000</v>
      </c>
      <c r="H34" s="312">
        <f t="shared" si="8"/>
        <v>12190500</v>
      </c>
      <c r="I34" s="312">
        <f t="shared" si="9"/>
        <v>0</v>
      </c>
      <c r="L34" s="323">
        <v>3.63</v>
      </c>
    </row>
    <row r="35" spans="1:12" s="323" customFormat="1" ht="21.95" customHeight="1">
      <c r="A35" s="330">
        <v>5</v>
      </c>
      <c r="B35" s="332" t="str">
        <f>'[2]Đang, CQ, ĐThể, ĐVSN huyen'!B138</f>
        <v>Ban Dân vận</v>
      </c>
      <c r="C35" s="312">
        <f ca="1">'Bieu 01'!Z138</f>
        <v>16589109</v>
      </c>
      <c r="D35" s="312">
        <f t="shared" si="3"/>
        <v>4800000</v>
      </c>
      <c r="E35" s="312"/>
      <c r="F35" s="312"/>
      <c r="G35" s="312">
        <v>4800000</v>
      </c>
      <c r="H35" s="312">
        <f t="shared" si="8"/>
        <v>11789109</v>
      </c>
      <c r="I35" s="312">
        <f t="shared" si="9"/>
        <v>0</v>
      </c>
      <c r="K35" s="323" t="s">
        <v>752</v>
      </c>
      <c r="L35" s="345">
        <f>L34*1490000*5*1.55</f>
        <v>41917425</v>
      </c>
    </row>
    <row r="36" spans="1:12" s="323" customFormat="1" ht="21.95" customHeight="1">
      <c r="A36" s="330">
        <v>6</v>
      </c>
      <c r="B36" s="332" t="str">
        <f>'[2]Đang, CQ, ĐThể, ĐVSN huyen'!B143</f>
        <v>Phụ cấp huyện ủy viên</v>
      </c>
      <c r="C36" s="312">
        <f ca="1">'Bieu 01'!Z143</f>
        <v>8400000</v>
      </c>
      <c r="D36" s="312">
        <f t="shared" si="3"/>
        <v>0</v>
      </c>
      <c r="E36" s="312"/>
      <c r="F36" s="312"/>
      <c r="G36" s="312"/>
      <c r="H36" s="312">
        <f t="shared" si="8"/>
        <v>8400000</v>
      </c>
      <c r="I36" s="312">
        <f t="shared" si="9"/>
        <v>0</v>
      </c>
      <c r="K36" s="346" t="s">
        <v>753</v>
      </c>
      <c r="L36" s="323">
        <f>12000000/12*5</f>
        <v>5000000</v>
      </c>
    </row>
    <row r="37" spans="1:12" s="323" customFormat="1" ht="21.95" customHeight="1">
      <c r="A37" s="330">
        <v>7</v>
      </c>
      <c r="B37" s="332" t="str">
        <f>'[2]Đang, CQ, ĐThể, ĐVSN huyen'!B179</f>
        <v>Phụ cấp Đại biểu HĐND huyện</v>
      </c>
      <c r="C37" s="312">
        <f ca="1">'Bieu 01'!Z179</f>
        <v>6480000</v>
      </c>
      <c r="D37" s="312">
        <f t="shared" si="3"/>
        <v>0</v>
      </c>
      <c r="E37" s="312"/>
      <c r="F37" s="312"/>
      <c r="G37" s="312"/>
      <c r="H37" s="312">
        <f t="shared" si="8"/>
        <v>6480000</v>
      </c>
      <c r="I37" s="312">
        <f t="shared" si="9"/>
        <v>0</v>
      </c>
    </row>
    <row r="38" spans="1:12" s="323" customFormat="1" ht="21.95" customHeight="1">
      <c r="A38" s="330">
        <v>8</v>
      </c>
      <c r="B38" s="332" t="str">
        <f>'[2]Đang, CQ, ĐThể, ĐVSN huyen'!B207</f>
        <v>Phụ cấp báo cáo viên</v>
      </c>
      <c r="C38" s="312">
        <f ca="1">'Bieu 01'!Z207</f>
        <v>3120000</v>
      </c>
      <c r="D38" s="312">
        <f t="shared" si="3"/>
        <v>0</v>
      </c>
      <c r="E38" s="312"/>
      <c r="F38" s="312"/>
      <c r="G38" s="312"/>
      <c r="H38" s="312">
        <f t="shared" si="8"/>
        <v>3120000</v>
      </c>
      <c r="I38" s="312">
        <f t="shared" si="9"/>
        <v>0</v>
      </c>
    </row>
    <row r="39" spans="1:12" s="323" customFormat="1" ht="21.95" customHeight="1">
      <c r="A39" s="330">
        <v>9</v>
      </c>
      <c r="B39" s="332" t="str">
        <f>'[2]Đang, CQ, ĐThể, ĐVSN huyen'!B234</f>
        <v>Phụ cấp cấp ủy chi bộ</v>
      </c>
      <c r="C39" s="312">
        <f ca="1">'Bieu 01'!Z234</f>
        <v>540000</v>
      </c>
      <c r="D39" s="312">
        <f t="shared" si="3"/>
        <v>0</v>
      </c>
      <c r="E39" s="312"/>
      <c r="F39" s="312"/>
      <c r="G39" s="312"/>
      <c r="H39" s="312">
        <f t="shared" si="8"/>
        <v>540000</v>
      </c>
      <c r="I39" s="312">
        <f t="shared" si="9"/>
        <v>0</v>
      </c>
    </row>
    <row r="40" spans="1:12" s="323" customFormat="1" ht="21.95" customHeight="1">
      <c r="A40" s="325" t="s">
        <v>4</v>
      </c>
      <c r="B40" s="333" t="str">
        <f>'[2]Đang, CQ, ĐThể, ĐVSN huyen'!B239</f>
        <v>Khối đoàn thể cấp huyện</v>
      </c>
      <c r="C40" s="319">
        <f ca="1">SUM(C41:C51)</f>
        <v>83120661</v>
      </c>
      <c r="D40" s="319">
        <f t="shared" ref="D40:I40" si="10">SUM(D41:D51)</f>
        <v>5574939</v>
      </c>
      <c r="E40" s="319">
        <f t="shared" si="10"/>
        <v>1974939</v>
      </c>
      <c r="F40" s="319">
        <f t="shared" si="10"/>
        <v>0</v>
      </c>
      <c r="G40" s="319">
        <f t="shared" si="10"/>
        <v>3600000</v>
      </c>
      <c r="H40" s="319">
        <f>SUM(H41:H51)</f>
        <v>77545722</v>
      </c>
      <c r="I40" s="319">
        <f t="shared" si="10"/>
        <v>0</v>
      </c>
    </row>
    <row r="41" spans="1:12" s="323" customFormat="1" ht="21.95" customHeight="1">
      <c r="A41" s="334">
        <v>1</v>
      </c>
      <c r="B41" s="332" t="s">
        <v>675</v>
      </c>
      <c r="C41" s="312">
        <f ca="1">'Bieu 01'!Z239</f>
        <v>13666650</v>
      </c>
      <c r="D41" s="312">
        <f t="shared" si="3"/>
        <v>0</v>
      </c>
      <c r="E41" s="312"/>
      <c r="F41" s="312"/>
      <c r="G41" s="312"/>
      <c r="H41" s="312">
        <f t="shared" ref="H41:H51" si="11">IF(C41&gt;D41,C41-D41,0)</f>
        <v>13666650</v>
      </c>
      <c r="I41" s="312">
        <f t="shared" ref="I41:I51" si="12">IF(D41&gt;C41,D41-C41,0)</f>
        <v>0</v>
      </c>
    </row>
    <row r="42" spans="1:12" s="323" customFormat="1" ht="21.95" customHeight="1">
      <c r="A42" s="334">
        <v>2</v>
      </c>
      <c r="B42" s="332" t="s">
        <v>228</v>
      </c>
      <c r="C42" s="312">
        <f ca="1">'Bieu 01'!Z246</f>
        <v>9201600.0000000019</v>
      </c>
      <c r="D42" s="312">
        <f t="shared" si="3"/>
        <v>0</v>
      </c>
      <c r="E42" s="313"/>
      <c r="F42" s="312"/>
      <c r="G42" s="312"/>
      <c r="H42" s="312">
        <f t="shared" si="11"/>
        <v>9201600.0000000019</v>
      </c>
      <c r="I42" s="312">
        <f t="shared" si="12"/>
        <v>0</v>
      </c>
    </row>
    <row r="43" spans="1:12" s="323" customFormat="1" ht="21.95" customHeight="1">
      <c r="A43" s="334">
        <v>3</v>
      </c>
      <c r="B43" s="332" t="s">
        <v>232</v>
      </c>
      <c r="C43" s="312">
        <f ca="1">'Bieu 01'!Z250</f>
        <v>14164500</v>
      </c>
      <c r="D43" s="312">
        <f t="shared" si="3"/>
        <v>0</v>
      </c>
      <c r="E43" s="312"/>
      <c r="F43" s="312"/>
      <c r="G43" s="312"/>
      <c r="H43" s="312">
        <f t="shared" si="11"/>
        <v>14164500</v>
      </c>
      <c r="I43" s="312">
        <f t="shared" si="12"/>
        <v>0</v>
      </c>
    </row>
    <row r="44" spans="1:12" s="323" customFormat="1" ht="21.95" customHeight="1">
      <c r="A44" s="334">
        <v>4</v>
      </c>
      <c r="B44" s="332" t="s">
        <v>237</v>
      </c>
      <c r="C44" s="312">
        <f ca="1">'Bieu 01'!Z255</f>
        <v>13802400</v>
      </c>
      <c r="D44" s="312">
        <f t="shared" si="3"/>
        <v>0</v>
      </c>
      <c r="E44" s="312"/>
      <c r="F44" s="312"/>
      <c r="G44" s="312"/>
      <c r="H44" s="312">
        <f t="shared" si="11"/>
        <v>13802400</v>
      </c>
      <c r="I44" s="312">
        <f t="shared" si="12"/>
        <v>0</v>
      </c>
    </row>
    <row r="45" spans="1:12" s="323" customFormat="1" ht="21.95" customHeight="1">
      <c r="A45" s="334">
        <v>5</v>
      </c>
      <c r="B45" s="332" t="s">
        <v>242</v>
      </c>
      <c r="C45" s="312">
        <f ca="1">'Bieu 01'!Z260</f>
        <v>9546900</v>
      </c>
      <c r="D45" s="312">
        <f t="shared" si="3"/>
        <v>0</v>
      </c>
      <c r="E45" s="312"/>
      <c r="F45" s="312"/>
      <c r="G45" s="312"/>
      <c r="H45" s="312">
        <f t="shared" si="11"/>
        <v>9546900</v>
      </c>
      <c r="I45" s="312">
        <f t="shared" si="12"/>
        <v>0</v>
      </c>
    </row>
    <row r="46" spans="1:12" s="323" customFormat="1" ht="21.95" customHeight="1">
      <c r="A46" s="334">
        <v>6</v>
      </c>
      <c r="B46" s="332" t="s">
        <v>677</v>
      </c>
      <c r="C46" s="312">
        <f ca="1">'Bieu 01'!Z264</f>
        <v>1920000</v>
      </c>
      <c r="D46" s="312">
        <f t="shared" si="3"/>
        <v>0</v>
      </c>
      <c r="E46" s="312"/>
      <c r="F46" s="312"/>
      <c r="G46" s="312"/>
      <c r="H46" s="312">
        <f t="shared" si="11"/>
        <v>1920000</v>
      </c>
      <c r="I46" s="312">
        <f t="shared" si="12"/>
        <v>0</v>
      </c>
    </row>
    <row r="47" spans="1:12" s="323" customFormat="1" ht="21.95" customHeight="1">
      <c r="A47" s="334">
        <v>7</v>
      </c>
      <c r="B47" s="332" t="s">
        <v>679</v>
      </c>
      <c r="C47" s="312">
        <f ca="1">'Bieu 01'!Z266</f>
        <v>5723550</v>
      </c>
      <c r="D47" s="312">
        <f t="shared" si="3"/>
        <v>0</v>
      </c>
      <c r="E47" s="312"/>
      <c r="F47" s="312"/>
      <c r="G47" s="312"/>
      <c r="H47" s="312">
        <f t="shared" si="11"/>
        <v>5723550</v>
      </c>
      <c r="I47" s="312">
        <f t="shared" si="12"/>
        <v>0</v>
      </c>
    </row>
    <row r="48" spans="1:12" s="323" customFormat="1" ht="21.95" customHeight="1">
      <c r="A48" s="334">
        <v>8</v>
      </c>
      <c r="B48" s="332" t="s">
        <v>683</v>
      </c>
      <c r="C48" s="312">
        <f ca="1">'Bieu 01'!Z270</f>
        <v>2148000</v>
      </c>
      <c r="D48" s="312">
        <f t="shared" si="3"/>
        <v>0</v>
      </c>
      <c r="E48" s="312"/>
      <c r="F48" s="312"/>
      <c r="G48" s="312"/>
      <c r="H48" s="312">
        <f t="shared" si="11"/>
        <v>2148000</v>
      </c>
      <c r="I48" s="312">
        <f t="shared" si="12"/>
        <v>0</v>
      </c>
    </row>
    <row r="49" spans="1:9" s="323" customFormat="1" ht="21.95" customHeight="1">
      <c r="A49" s="334">
        <v>9</v>
      </c>
      <c r="B49" s="332" t="s">
        <v>688</v>
      </c>
      <c r="C49" s="312">
        <f ca="1">'Bieu 01'!Z279</f>
        <v>120000</v>
      </c>
      <c r="D49" s="312">
        <f t="shared" si="3"/>
        <v>0</v>
      </c>
      <c r="E49" s="312"/>
      <c r="F49" s="312"/>
      <c r="G49" s="312"/>
      <c r="H49" s="312">
        <f>IF(C49&gt;D49,C49-D49,0)</f>
        <v>120000</v>
      </c>
      <c r="I49" s="312">
        <f>IF(D49&gt;C49,D49-C49,0)</f>
        <v>0</v>
      </c>
    </row>
    <row r="50" spans="1:9" s="323" customFormat="1" ht="21.95" customHeight="1">
      <c r="A50" s="334">
        <v>10</v>
      </c>
      <c r="B50" s="332" t="s">
        <v>685</v>
      </c>
      <c r="C50" s="312">
        <f ca="1">'Bieu 01'!Z272</f>
        <v>3149100</v>
      </c>
      <c r="D50" s="312">
        <f t="shared" si="3"/>
        <v>0</v>
      </c>
      <c r="E50" s="312"/>
      <c r="F50" s="312"/>
      <c r="G50" s="312"/>
      <c r="H50" s="312">
        <f t="shared" si="11"/>
        <v>3149100</v>
      </c>
      <c r="I50" s="312">
        <f t="shared" si="12"/>
        <v>0</v>
      </c>
    </row>
    <row r="51" spans="1:9" s="323" customFormat="1" ht="21.95" customHeight="1">
      <c r="A51" s="334">
        <v>11</v>
      </c>
      <c r="B51" s="332" t="s">
        <v>125</v>
      </c>
      <c r="C51" s="312">
        <f ca="1">'Bieu 01'!Z275</f>
        <v>9677961</v>
      </c>
      <c r="D51" s="312">
        <f t="shared" si="3"/>
        <v>5574939</v>
      </c>
      <c r="E51" s="312">
        <v>1974939</v>
      </c>
      <c r="F51" s="312"/>
      <c r="G51" s="312">
        <v>3600000</v>
      </c>
      <c r="H51" s="312">
        <f t="shared" si="11"/>
        <v>4103022</v>
      </c>
      <c r="I51" s="312">
        <f t="shared" si="12"/>
        <v>0</v>
      </c>
    </row>
    <row r="52" spans="1:9" s="323" customFormat="1" ht="21.95" customHeight="1">
      <c r="A52" s="325" t="s">
        <v>59</v>
      </c>
      <c r="B52" s="333" t="str">
        <f>'[2]Đang, CQ, ĐThể, ĐVSN huyen'!B280</f>
        <v>Khối đơn vị sự nghiệp thuộc huyện</v>
      </c>
      <c r="C52" s="335">
        <f t="shared" ref="C52:I52" si="13">C53+C55+C57+C59</f>
        <v>3074735161.7400002</v>
      </c>
      <c r="D52" s="335">
        <f t="shared" si="13"/>
        <v>1691499241</v>
      </c>
      <c r="E52" s="335">
        <f t="shared" si="13"/>
        <v>379949753</v>
      </c>
      <c r="F52" s="335">
        <f t="shared" si="13"/>
        <v>577049488</v>
      </c>
      <c r="G52" s="335">
        <f t="shared" si="13"/>
        <v>734500000</v>
      </c>
      <c r="H52" s="335">
        <f t="shared" si="13"/>
        <v>1686971894.7400002</v>
      </c>
      <c r="I52" s="319">
        <f t="shared" si="13"/>
        <v>303735974</v>
      </c>
    </row>
    <row r="53" spans="1:9" s="323" customFormat="1" ht="21.95" customHeight="1">
      <c r="A53" s="334">
        <v>1</v>
      </c>
      <c r="B53" s="332" t="s">
        <v>734</v>
      </c>
      <c r="C53" s="312">
        <f ca="1">C54</f>
        <v>5422050</v>
      </c>
      <c r="D53" s="312">
        <f t="shared" si="3"/>
        <v>0</v>
      </c>
      <c r="E53" s="312"/>
      <c r="F53" s="312"/>
      <c r="G53" s="312"/>
      <c r="H53" s="312">
        <f t="shared" ref="H53:H60" si="14">IF(C53&gt;D53,C53-D53,0)</f>
        <v>5422050</v>
      </c>
      <c r="I53" s="312">
        <f t="shared" ref="I53:I60" si="15">IF(D53&gt;C53,D53-C53,0)</f>
        <v>0</v>
      </c>
    </row>
    <row r="54" spans="1:9" s="323" customFormat="1" ht="21.95" customHeight="1">
      <c r="A54" s="334" t="s">
        <v>735</v>
      </c>
      <c r="B54" s="332" t="str">
        <f>'[2]Đang, CQ, ĐThể, ĐVSN huyen'!B281</f>
        <v>Trung tâm bồi dưỡng chính trị</v>
      </c>
      <c r="C54" s="312">
        <f ca="1">'Bieu 01'!Z320</f>
        <v>5422050</v>
      </c>
      <c r="D54" s="312">
        <f t="shared" si="3"/>
        <v>0</v>
      </c>
      <c r="E54" s="312"/>
      <c r="F54" s="312"/>
      <c r="G54" s="312"/>
      <c r="H54" s="312">
        <f t="shared" si="14"/>
        <v>5422050</v>
      </c>
      <c r="I54" s="312">
        <f t="shared" si="15"/>
        <v>0</v>
      </c>
    </row>
    <row r="55" spans="1:9" s="323" customFormat="1" ht="21.95" customHeight="1">
      <c r="A55" s="334">
        <v>2</v>
      </c>
      <c r="B55" s="332" t="s">
        <v>736</v>
      </c>
      <c r="C55" s="312">
        <f ca="1">C56</f>
        <v>3033211591.7400002</v>
      </c>
      <c r="D55" s="312">
        <f>D56</f>
        <v>1373936207</v>
      </c>
      <c r="E55" s="336">
        <f>E56</f>
        <v>379793207</v>
      </c>
      <c r="F55" s="312">
        <f>F56</f>
        <v>259643000</v>
      </c>
      <c r="G55" s="312">
        <f>G56</f>
        <v>734500000</v>
      </c>
      <c r="H55" s="312">
        <f t="shared" si="14"/>
        <v>1659275384.7400002</v>
      </c>
      <c r="I55" s="312">
        <f t="shared" si="15"/>
        <v>0</v>
      </c>
    </row>
    <row r="56" spans="1:9" s="323" customFormat="1" ht="21.95" customHeight="1">
      <c r="A56" s="334" t="s">
        <v>735</v>
      </c>
      <c r="B56" s="332" t="s">
        <v>737</v>
      </c>
      <c r="C56" s="312">
        <f ca="1">'Bieu 01'!Z282</f>
        <v>3033211591.7400002</v>
      </c>
      <c r="D56" s="312">
        <f t="shared" si="3"/>
        <v>1373936207</v>
      </c>
      <c r="E56" s="336">
        <v>379793207</v>
      </c>
      <c r="F56" s="312">
        <v>259643000</v>
      </c>
      <c r="G56" s="312">
        <v>734500000</v>
      </c>
      <c r="H56" s="312">
        <f t="shared" si="14"/>
        <v>1659275384.7400002</v>
      </c>
      <c r="I56" s="312">
        <f t="shared" si="15"/>
        <v>0</v>
      </c>
    </row>
    <row r="57" spans="1:9" s="323" customFormat="1" ht="21.95" customHeight="1">
      <c r="A57" s="334">
        <v>3</v>
      </c>
      <c r="B57" s="332" t="s">
        <v>738</v>
      </c>
      <c r="C57" s="312">
        <f t="shared" ref="C57:H57" si="16">C58</f>
        <v>13827060</v>
      </c>
      <c r="D57" s="312">
        <f t="shared" si="16"/>
        <v>317563034</v>
      </c>
      <c r="E57" s="336">
        <f t="shared" si="16"/>
        <v>156546</v>
      </c>
      <c r="F57" s="312">
        <f t="shared" si="16"/>
        <v>317406488</v>
      </c>
      <c r="G57" s="312">
        <f t="shared" si="16"/>
        <v>0</v>
      </c>
      <c r="H57" s="312">
        <f t="shared" si="16"/>
        <v>0</v>
      </c>
      <c r="I57" s="312">
        <f t="shared" si="15"/>
        <v>303735974</v>
      </c>
    </row>
    <row r="58" spans="1:9" s="323" customFormat="1" ht="21.95" customHeight="1">
      <c r="A58" s="334" t="s">
        <v>735</v>
      </c>
      <c r="B58" s="332" t="str">
        <f>'[2]Đang, CQ, ĐThể, ĐVSN huyen'!B284</f>
        <v>Trung tâm phát triển quỹ đất</v>
      </c>
      <c r="C58" s="312">
        <f ca="1">'Bieu 01'!Z323</f>
        <v>13827060</v>
      </c>
      <c r="D58" s="312">
        <f t="shared" si="3"/>
        <v>317563034</v>
      </c>
      <c r="E58" s="313">
        <v>156546</v>
      </c>
      <c r="F58" s="312">
        <v>317406488</v>
      </c>
      <c r="G58" s="312"/>
      <c r="H58" s="312">
        <f t="shared" si="14"/>
        <v>0</v>
      </c>
      <c r="I58" s="320">
        <f t="shared" si="15"/>
        <v>303735974</v>
      </c>
    </row>
    <row r="59" spans="1:9" s="323" customFormat="1" ht="21.95" customHeight="1">
      <c r="A59" s="334">
        <v>4</v>
      </c>
      <c r="B59" s="332" t="s">
        <v>739</v>
      </c>
      <c r="C59" s="312">
        <f ca="1">C60</f>
        <v>22274460</v>
      </c>
      <c r="D59" s="312">
        <f t="shared" si="3"/>
        <v>0</v>
      </c>
      <c r="E59" s="336"/>
      <c r="F59" s="312"/>
      <c r="G59" s="312"/>
      <c r="H59" s="312">
        <f t="shared" si="14"/>
        <v>22274460</v>
      </c>
      <c r="I59" s="312">
        <f t="shared" si="15"/>
        <v>0</v>
      </c>
    </row>
    <row r="60" spans="1:9" s="323" customFormat="1" ht="21.95" customHeight="1">
      <c r="A60" s="334" t="s">
        <v>735</v>
      </c>
      <c r="B60" s="332" t="str">
        <f>'[2]Đang, CQ, ĐThể, ĐVSN huyen'!B291</f>
        <v>Trung tâm Văn hóa - Thể thao và truyền thanh</v>
      </c>
      <c r="C60" s="312">
        <f ca="1">'Bieu 01'!Z330</f>
        <v>22274460</v>
      </c>
      <c r="D60" s="312">
        <f t="shared" si="3"/>
        <v>0</v>
      </c>
      <c r="E60" s="312"/>
      <c r="F60" s="312"/>
      <c r="G60" s="312"/>
      <c r="H60" s="312">
        <f t="shared" si="14"/>
        <v>22274460</v>
      </c>
      <c r="I60" s="312">
        <f t="shared" si="15"/>
        <v>0</v>
      </c>
    </row>
    <row r="61" spans="1:9" s="323" customFormat="1" ht="21.95" customHeight="1">
      <c r="A61" s="325" t="s">
        <v>7</v>
      </c>
      <c r="B61" s="333" t="s">
        <v>740</v>
      </c>
      <c r="C61" s="319">
        <f t="shared" ref="C61:I61" si="17">SUM(C62:C69)</f>
        <v>594909001.52812028</v>
      </c>
      <c r="D61" s="335">
        <f t="shared" si="17"/>
        <v>3093662757</v>
      </c>
      <c r="E61" s="319">
        <f t="shared" si="17"/>
        <v>1348978337</v>
      </c>
      <c r="F61" s="319">
        <f t="shared" si="17"/>
        <v>1349445420</v>
      </c>
      <c r="G61" s="319">
        <f t="shared" si="17"/>
        <v>395239000</v>
      </c>
      <c r="H61" s="319">
        <f t="shared" si="17"/>
        <v>1276682.3291520029</v>
      </c>
      <c r="I61" s="335">
        <f t="shared" si="17"/>
        <v>2500030437.8010316</v>
      </c>
    </row>
    <row r="62" spans="1:9" s="323" customFormat="1" ht="21.95" customHeight="1">
      <c r="A62" s="334">
        <v>1</v>
      </c>
      <c r="B62" s="332" t="str">
        <f>'[2]UBND cac xã'!B11</f>
        <v>Xã Phước Nam</v>
      </c>
      <c r="C62" s="312">
        <f ca="1">'Bieu 01'!Z344</f>
        <v>84130260</v>
      </c>
      <c r="D62" s="312">
        <f t="shared" si="3"/>
        <v>521137220</v>
      </c>
      <c r="E62" s="312">
        <v>147814718</v>
      </c>
      <c r="F62" s="312">
        <v>321231502</v>
      </c>
      <c r="G62" s="312">
        <v>52091000</v>
      </c>
      <c r="H62" s="312">
        <f t="shared" ref="H62:H69" si="18">IF(C62&gt;D62,C62-D62,0)</f>
        <v>0</v>
      </c>
      <c r="I62" s="312">
        <f t="shared" ref="I62:I69" si="19">IF(D62&gt;C62,D62-C62,0)</f>
        <v>437006960</v>
      </c>
    </row>
    <row r="63" spans="1:9" s="323" customFormat="1" ht="21.95" customHeight="1">
      <c r="A63" s="334">
        <v>2</v>
      </c>
      <c r="B63" s="332" t="str">
        <f>'[2]UBND cac xã'!B82</f>
        <v>Xã Phước Dinh</v>
      </c>
      <c r="C63" s="312">
        <f ca="1">'Bieu 01'!Z415+'Bieu 02'!H14</f>
        <v>82181494.434908152</v>
      </c>
      <c r="D63" s="312">
        <f t="shared" si="3"/>
        <v>455243406</v>
      </c>
      <c r="E63" s="312">
        <v>127933300</v>
      </c>
      <c r="F63" s="312">
        <v>264703106</v>
      </c>
      <c r="G63" s="312">
        <v>62607000</v>
      </c>
      <c r="H63" s="312">
        <f t="shared" si="18"/>
        <v>0</v>
      </c>
      <c r="I63" s="312">
        <f t="shared" si="19"/>
        <v>373061911.56509185</v>
      </c>
    </row>
    <row r="64" spans="1:9" s="323" customFormat="1" ht="21.95" customHeight="1">
      <c r="A64" s="334">
        <v>3</v>
      </c>
      <c r="B64" s="332" t="str">
        <f>'[2]UBND cac xã'!B148</f>
        <v>Xã Phước Minh</v>
      </c>
      <c r="C64" s="312">
        <f ca="1">'Bieu 01'!Z481</f>
        <v>64395150</v>
      </c>
      <c r="D64" s="312">
        <f t="shared" si="3"/>
        <v>384893856</v>
      </c>
      <c r="E64" s="312">
        <v>229495100</v>
      </c>
      <c r="F64" s="312">
        <v>113375756</v>
      </c>
      <c r="G64" s="312">
        <v>42023000</v>
      </c>
      <c r="H64" s="312">
        <f t="shared" si="18"/>
        <v>0</v>
      </c>
      <c r="I64" s="312">
        <f t="shared" si="19"/>
        <v>320498706</v>
      </c>
    </row>
    <row r="65" spans="1:9" s="323" customFormat="1" ht="21.95" customHeight="1">
      <c r="A65" s="334">
        <v>4</v>
      </c>
      <c r="B65" s="332" t="str">
        <f>'[2]UBND cac xã'!B205</f>
        <v>Xã Nhị Hà</v>
      </c>
      <c r="C65" s="312">
        <f ca="1">'Bieu 01'!Z538</f>
        <v>68460300</v>
      </c>
      <c r="D65" s="312">
        <f t="shared" si="3"/>
        <v>360072500</v>
      </c>
      <c r="E65" s="312">
        <v>132174408</v>
      </c>
      <c r="F65" s="312">
        <v>185823092</v>
      </c>
      <c r="G65" s="312">
        <v>42075000</v>
      </c>
      <c r="H65" s="312">
        <f t="shared" si="18"/>
        <v>0</v>
      </c>
      <c r="I65" s="312">
        <f t="shared" si="19"/>
        <v>291612200</v>
      </c>
    </row>
    <row r="66" spans="1:9" s="323" customFormat="1" ht="21.95" customHeight="1">
      <c r="A66" s="334">
        <v>5</v>
      </c>
      <c r="B66" s="332" t="str">
        <f>'[2]UBND cac xã'!B267</f>
        <v>Xã Cà Ná</v>
      </c>
      <c r="C66" s="312">
        <f ca="1">'Bieu 01'!Z600+'Bieu 02'!H19</f>
        <v>68741824.434908152</v>
      </c>
      <c r="D66" s="312">
        <f t="shared" si="3"/>
        <v>414597213</v>
      </c>
      <c r="E66" s="312">
        <v>166314928</v>
      </c>
      <c r="F66" s="312">
        <v>195319285</v>
      </c>
      <c r="G66" s="312">
        <v>52963000</v>
      </c>
      <c r="H66" s="312">
        <f t="shared" si="18"/>
        <v>0</v>
      </c>
      <c r="I66" s="312">
        <f t="shared" si="19"/>
        <v>345855388.56509185</v>
      </c>
    </row>
    <row r="67" spans="1:9" s="323" customFormat="1" ht="21.95" customHeight="1">
      <c r="A67" s="334">
        <v>6</v>
      </c>
      <c r="B67" s="332" t="str">
        <f>'[2]UBND cac xã'!B325</f>
        <v>Xã Phước Ninh</v>
      </c>
      <c r="C67" s="312">
        <f ca="1">'Bieu 01'!Z658+'Bieu 02'!H22</f>
        <v>67497071.329152003</v>
      </c>
      <c r="D67" s="312">
        <f t="shared" si="3"/>
        <v>525491741</v>
      </c>
      <c r="E67" s="337">
        <v>282188001</v>
      </c>
      <c r="F67" s="338">
        <v>200252740</v>
      </c>
      <c r="G67" s="312">
        <v>43051000</v>
      </c>
      <c r="H67" s="312">
        <f t="shared" si="18"/>
        <v>0</v>
      </c>
      <c r="I67" s="312">
        <f t="shared" si="19"/>
        <v>457994669.67084801</v>
      </c>
    </row>
    <row r="68" spans="1:9" s="323" customFormat="1" ht="21.95" customHeight="1">
      <c r="A68" s="334">
        <v>7</v>
      </c>
      <c r="B68" s="332" t="str">
        <f>'[2]UBND cac xã'!B383</f>
        <v>Xã Phước Hà</v>
      </c>
      <c r="C68" s="312">
        <f ca="1">'Bieu 01'!Z716+'Bieu 02'!H17</f>
        <v>84370451.329152003</v>
      </c>
      <c r="D68" s="312">
        <f t="shared" si="3"/>
        <v>83093769</v>
      </c>
      <c r="E68" s="312">
        <v>15485494</v>
      </c>
      <c r="F68" s="312">
        <v>22210275</v>
      </c>
      <c r="G68" s="312">
        <v>45398000</v>
      </c>
      <c r="H68" s="312">
        <f>IF(C68&gt;D68,C68-D68,0)</f>
        <v>1276682.3291520029</v>
      </c>
      <c r="I68" s="312">
        <f t="shared" si="19"/>
        <v>0</v>
      </c>
    </row>
    <row r="69" spans="1:9" s="323" customFormat="1" ht="21.95" customHeight="1">
      <c r="A69" s="334">
        <v>8</v>
      </c>
      <c r="B69" s="332" t="str">
        <f>'[2]UBND cac xã'!B446</f>
        <v>Xã Phước Diêm</v>
      </c>
      <c r="C69" s="312">
        <f ca="1">'Bieu 01'!Z779</f>
        <v>75132450</v>
      </c>
      <c r="D69" s="312">
        <f t="shared" si="3"/>
        <v>349133052</v>
      </c>
      <c r="E69" s="312">
        <v>247572388</v>
      </c>
      <c r="F69" s="312">
        <v>46529664</v>
      </c>
      <c r="G69" s="312">
        <v>55031000</v>
      </c>
      <c r="H69" s="312">
        <f t="shared" si="18"/>
        <v>0</v>
      </c>
      <c r="I69" s="312">
        <f t="shared" si="19"/>
        <v>274000602</v>
      </c>
    </row>
    <row r="70" spans="1:9" s="323" customFormat="1" ht="15.75">
      <c r="A70" s="339"/>
      <c r="I70" s="341"/>
    </row>
    <row r="71" spans="1:9" s="323" customFormat="1" ht="15.75">
      <c r="A71" s="339"/>
      <c r="I71" s="340"/>
    </row>
    <row r="72" spans="1:9" s="323" customFormat="1" ht="15.75">
      <c r="A72" s="342"/>
    </row>
    <row r="73" spans="1:9" s="323" customFormat="1" ht="15">
      <c r="A73" s="339"/>
    </row>
    <row r="74" spans="1:9" s="323" customFormat="1" ht="15">
      <c r="A74" s="339"/>
    </row>
  </sheetData>
  <mergeCells count="15">
    <mergeCell ref="F11:F12"/>
    <mergeCell ref="A1:C1"/>
    <mergeCell ref="A2:C2"/>
    <mergeCell ref="A4:I4"/>
    <mergeCell ref="A5:I5"/>
    <mergeCell ref="G11:G12"/>
    <mergeCell ref="A7:A12"/>
    <mergeCell ref="B7:B12"/>
    <mergeCell ref="C7:I7"/>
    <mergeCell ref="C8:C12"/>
    <mergeCell ref="D8:G10"/>
    <mergeCell ref="H8:H12"/>
    <mergeCell ref="I8:I12"/>
    <mergeCell ref="D11:D12"/>
    <mergeCell ref="E11:E12"/>
  </mergeCells>
  <phoneticPr fontId="19" type="noConversion"/>
  <pageMargins left="0.66" right="0.3" top="0.28999999999999998" bottom="0.25" header="0.28000000000000003" footer="0.17"/>
  <pageSetup paperSize="9" scale="8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sheetPr enableFormatConditionsCalculation="0">
    <tabColor indexed="10"/>
  </sheetPr>
  <dimension ref="A1:I54"/>
  <sheetViews>
    <sheetView workbookViewId="0">
      <selection activeCell="C25" sqref="C25"/>
    </sheetView>
  </sheetViews>
  <sheetFormatPr defaultRowHeight="15"/>
  <cols>
    <col min="1" max="1" width="6.28515625" customWidth="1"/>
    <col min="2" max="2" width="32" customWidth="1"/>
    <col min="3" max="3" width="16.5703125" customWidth="1"/>
    <col min="4" max="4" width="14.28515625" customWidth="1"/>
    <col min="5" max="5" width="15.85546875" customWidth="1"/>
    <col min="6" max="6" width="13.42578125" customWidth="1"/>
    <col min="8" max="8" width="19" customWidth="1"/>
  </cols>
  <sheetData>
    <row r="1" spans="1:9" ht="16.5">
      <c r="A1" s="509" t="s">
        <v>38</v>
      </c>
      <c r="B1" s="509"/>
      <c r="C1" s="509"/>
      <c r="F1" s="1" t="s">
        <v>756</v>
      </c>
    </row>
    <row r="2" spans="1:9" ht="16.5">
      <c r="A2" s="510" t="s">
        <v>35</v>
      </c>
      <c r="B2" s="510"/>
      <c r="C2" s="510"/>
    </row>
    <row r="4" spans="1:9" ht="38.25" customHeight="1">
      <c r="A4" s="516" t="s">
        <v>743</v>
      </c>
      <c r="B4" s="517"/>
      <c r="C4" s="517"/>
      <c r="D4" s="517"/>
      <c r="E4" s="517"/>
      <c r="F4" s="517"/>
    </row>
    <row r="5" spans="1:9" ht="19.5" customHeight="1">
      <c r="A5" s="513" t="s">
        <v>757</v>
      </c>
      <c r="B5" s="513"/>
      <c r="C5" s="513"/>
      <c r="D5" s="513"/>
      <c r="E5" s="513"/>
      <c r="F5" s="513"/>
      <c r="G5" s="348"/>
      <c r="H5" s="348"/>
      <c r="I5" s="348"/>
    </row>
    <row r="6" spans="1:9" ht="12.75" customHeight="1"/>
    <row r="7" spans="1:9" ht="18.75" customHeight="1">
      <c r="F7" s="151" t="s">
        <v>41</v>
      </c>
    </row>
    <row r="8" spans="1:9" ht="28.5" customHeight="1">
      <c r="A8" s="518" t="s">
        <v>5</v>
      </c>
      <c r="B8" s="518" t="s">
        <v>650</v>
      </c>
      <c r="C8" s="520" t="s">
        <v>653</v>
      </c>
      <c r="D8" s="521"/>
      <c r="E8" s="522"/>
      <c r="F8" s="161" t="s">
        <v>648</v>
      </c>
    </row>
    <row r="9" spans="1:9" ht="53.25" customHeight="1">
      <c r="A9" s="519"/>
      <c r="B9" s="519"/>
      <c r="C9" s="162" t="s">
        <v>744</v>
      </c>
      <c r="D9" s="162" t="s">
        <v>745</v>
      </c>
      <c r="E9" s="163" t="s">
        <v>9</v>
      </c>
      <c r="F9" s="164"/>
    </row>
    <row r="10" spans="1:9" ht="18.75" customHeight="1">
      <c r="A10" s="165" t="s">
        <v>6</v>
      </c>
      <c r="B10" s="165" t="s">
        <v>7</v>
      </c>
      <c r="C10" s="166">
        <v>1</v>
      </c>
      <c r="D10" s="167">
        <v>2</v>
      </c>
      <c r="E10" s="167" t="s">
        <v>651</v>
      </c>
      <c r="F10" s="168">
        <v>4</v>
      </c>
    </row>
    <row r="11" spans="1:9" ht="21.95" customHeight="1">
      <c r="A11" s="152" t="s">
        <v>2</v>
      </c>
      <c r="B11" s="20" t="s">
        <v>654</v>
      </c>
      <c r="C11" s="177">
        <f>SUM(C12:C21)+C23+C24+SUM(C26:C38)</f>
        <v>1989314916.0400002</v>
      </c>
      <c r="D11" s="177">
        <f>SUM(D12:D21)+D23+D24+SUM(D26:D38)</f>
        <v>0</v>
      </c>
      <c r="E11" s="177">
        <f>SUM(E12:E21)+E23+E24+SUM(E26:E38)</f>
        <v>1989314916.0400002</v>
      </c>
      <c r="F11" s="168"/>
    </row>
    <row r="12" spans="1:9" ht="21.95" customHeight="1">
      <c r="A12" s="170">
        <v>1</v>
      </c>
      <c r="B12" s="171" t="s">
        <v>39</v>
      </c>
      <c r="C12" s="153">
        <f ca="1">'Phu luc 02'!H17</f>
        <v>6277278</v>
      </c>
      <c r="D12" s="153"/>
      <c r="E12" s="153">
        <f>C12+D12</f>
        <v>6277278</v>
      </c>
      <c r="F12" s="153"/>
    </row>
    <row r="13" spans="1:9" ht="21.95" customHeight="1">
      <c r="A13" s="172">
        <v>2</v>
      </c>
      <c r="B13" s="173" t="s">
        <v>45</v>
      </c>
      <c r="C13" s="153">
        <f ca="1">'Phu luc 02'!H18</f>
        <v>8505021</v>
      </c>
      <c r="D13" s="153"/>
      <c r="E13" s="153">
        <f t="shared" ref="E13:E40" si="0">C13+D13</f>
        <v>8505021</v>
      </c>
      <c r="F13" s="153"/>
    </row>
    <row r="14" spans="1:9" ht="32.25" customHeight="1">
      <c r="A14" s="170">
        <v>3</v>
      </c>
      <c r="B14" s="15" t="s">
        <v>51</v>
      </c>
      <c r="C14" s="153">
        <f ca="1">'Phu luc 02'!H19</f>
        <v>10362069</v>
      </c>
      <c r="D14" s="153"/>
      <c r="E14" s="153">
        <f t="shared" si="0"/>
        <v>10362069</v>
      </c>
      <c r="F14" s="153"/>
    </row>
    <row r="15" spans="1:9" ht="21.95" customHeight="1">
      <c r="A15" s="170">
        <v>4</v>
      </c>
      <c r="B15" s="15" t="s">
        <v>60</v>
      </c>
      <c r="C15" s="153">
        <f ca="1">'Phu luc 02'!H20</f>
        <v>2526953</v>
      </c>
      <c r="D15" s="153"/>
      <c r="E15" s="153">
        <f t="shared" si="0"/>
        <v>2526953</v>
      </c>
      <c r="F15" s="153"/>
    </row>
    <row r="16" spans="1:9" ht="34.5" customHeight="1">
      <c r="A16" s="170">
        <v>5</v>
      </c>
      <c r="B16" s="15" t="s">
        <v>66</v>
      </c>
      <c r="C16" s="153">
        <f ca="1">'Phu luc 02'!H21</f>
        <v>0</v>
      </c>
      <c r="D16" s="153"/>
      <c r="E16" s="153">
        <f t="shared" si="0"/>
        <v>0</v>
      </c>
      <c r="F16" s="153"/>
    </row>
    <row r="17" spans="1:6" ht="21.95" customHeight="1">
      <c r="A17" s="172">
        <v>6</v>
      </c>
      <c r="B17" s="15" t="s">
        <v>104</v>
      </c>
      <c r="C17" s="153">
        <f ca="1">'Phu luc 02'!H22</f>
        <v>1581787</v>
      </c>
      <c r="D17" s="153"/>
      <c r="E17" s="153">
        <f t="shared" si="0"/>
        <v>1581787</v>
      </c>
      <c r="F17" s="153"/>
    </row>
    <row r="18" spans="1:6" ht="21.95" customHeight="1">
      <c r="A18" s="170">
        <v>7</v>
      </c>
      <c r="B18" s="15" t="s">
        <v>115</v>
      </c>
      <c r="C18" s="153">
        <f ca="1">'Phu luc 02'!H23</f>
        <v>7209750</v>
      </c>
      <c r="D18" s="153"/>
      <c r="E18" s="153">
        <f t="shared" si="0"/>
        <v>7209750</v>
      </c>
      <c r="F18" s="153"/>
    </row>
    <row r="19" spans="1:6" ht="21.95" customHeight="1">
      <c r="A19" s="170">
        <v>8</v>
      </c>
      <c r="B19" s="15" t="s">
        <v>129</v>
      </c>
      <c r="C19" s="153">
        <f ca="1">'Phu luc 02'!H24</f>
        <v>6206100</v>
      </c>
      <c r="D19" s="153"/>
      <c r="E19" s="153">
        <f t="shared" si="0"/>
        <v>6206100</v>
      </c>
      <c r="F19" s="153"/>
    </row>
    <row r="20" spans="1:6" ht="34.5" customHeight="1">
      <c r="A20" s="172">
        <v>9</v>
      </c>
      <c r="B20" s="15" t="s">
        <v>172</v>
      </c>
      <c r="C20" s="153">
        <f ca="1">'Phu luc 02'!H25</f>
        <v>5182804.0000000019</v>
      </c>
      <c r="D20" s="153"/>
      <c r="E20" s="153">
        <f t="shared" si="0"/>
        <v>5182804.0000000019</v>
      </c>
      <c r="F20" s="153"/>
    </row>
    <row r="21" spans="1:6" ht="21.95" customHeight="1">
      <c r="A21" s="170">
        <v>10</v>
      </c>
      <c r="B21" s="15" t="s">
        <v>548</v>
      </c>
      <c r="C21" s="153">
        <f ca="1">'Phu luc 02'!H26+'Phu luc 02'!H56</f>
        <v>1670688496.7400002</v>
      </c>
      <c r="D21" s="153"/>
      <c r="E21" s="153">
        <f t="shared" si="0"/>
        <v>1670688496.7400002</v>
      </c>
      <c r="F21" s="153"/>
    </row>
    <row r="22" spans="1:6" ht="36.75" customHeight="1">
      <c r="A22" s="170"/>
      <c r="B22" s="15" t="s">
        <v>747</v>
      </c>
      <c r="C22" s="153">
        <f ca="1">'Phu luc 02'!H56</f>
        <v>1659275384.7400002</v>
      </c>
      <c r="D22" s="153"/>
      <c r="E22" s="153">
        <f t="shared" si="0"/>
        <v>1659275384.7400002</v>
      </c>
      <c r="F22" s="153"/>
    </row>
    <row r="23" spans="1:6" ht="24" customHeight="1">
      <c r="A23" s="170">
        <v>11</v>
      </c>
      <c r="B23" s="15" t="s">
        <v>593</v>
      </c>
      <c r="C23" s="153">
        <f ca="1">'Phu luc 02'!H27</f>
        <v>13644000</v>
      </c>
      <c r="D23" s="153"/>
      <c r="E23" s="153">
        <f t="shared" si="0"/>
        <v>13644000</v>
      </c>
      <c r="F23" s="179"/>
    </row>
    <row r="24" spans="1:6" ht="33" customHeight="1">
      <c r="A24" s="170">
        <v>12</v>
      </c>
      <c r="B24" s="15" t="s">
        <v>652</v>
      </c>
      <c r="C24" s="153">
        <f ca="1">'Phu luc 02'!H28</f>
        <v>151888425.30000001</v>
      </c>
      <c r="D24" s="153"/>
      <c r="E24" s="153">
        <f t="shared" si="0"/>
        <v>151888425.30000001</v>
      </c>
      <c r="F24" s="153"/>
    </row>
    <row r="25" spans="1:6" ht="21.95" customHeight="1">
      <c r="A25" s="170"/>
      <c r="B25" s="49" t="s">
        <v>746</v>
      </c>
      <c r="C25" s="153">
        <f ca="1">'Phu luc 02'!H31</f>
        <v>27551110.800000004</v>
      </c>
      <c r="D25" s="153"/>
      <c r="E25" s="153">
        <f t="shared" si="0"/>
        <v>27551110.800000004</v>
      </c>
      <c r="F25" s="153"/>
    </row>
    <row r="26" spans="1:6" ht="21.95" customHeight="1">
      <c r="A26" s="170">
        <v>13</v>
      </c>
      <c r="B26" s="15" t="s">
        <v>675</v>
      </c>
      <c r="C26" s="153">
        <f ca="1">'Phu luc 02'!H41</f>
        <v>13666650</v>
      </c>
      <c r="D26" s="153"/>
      <c r="E26" s="153">
        <f t="shared" si="0"/>
        <v>13666650</v>
      </c>
      <c r="F26" s="153"/>
    </row>
    <row r="27" spans="1:6" ht="21.95" customHeight="1">
      <c r="A27" s="170">
        <v>14</v>
      </c>
      <c r="B27" s="15" t="s">
        <v>228</v>
      </c>
      <c r="C27" s="153">
        <f ca="1">'Phu luc 02'!H42</f>
        <v>9201600.0000000019</v>
      </c>
      <c r="D27" s="153"/>
      <c r="E27" s="153">
        <f t="shared" si="0"/>
        <v>9201600.0000000019</v>
      </c>
      <c r="F27" s="153"/>
    </row>
    <row r="28" spans="1:6" ht="21.95" customHeight="1">
      <c r="A28" s="172">
        <v>15</v>
      </c>
      <c r="B28" s="173" t="s">
        <v>232</v>
      </c>
      <c r="C28" s="153">
        <f ca="1">'Phu luc 02'!H43</f>
        <v>14164500</v>
      </c>
      <c r="D28" s="153"/>
      <c r="E28" s="153">
        <f t="shared" si="0"/>
        <v>14164500</v>
      </c>
      <c r="F28" s="153"/>
    </row>
    <row r="29" spans="1:6" ht="21.95" customHeight="1">
      <c r="A29" s="170">
        <v>16</v>
      </c>
      <c r="B29" s="173" t="s">
        <v>237</v>
      </c>
      <c r="C29" s="153">
        <f ca="1">'Phu luc 02'!H44</f>
        <v>13802400</v>
      </c>
      <c r="D29" s="153"/>
      <c r="E29" s="153">
        <f t="shared" si="0"/>
        <v>13802400</v>
      </c>
      <c r="F29" s="153"/>
    </row>
    <row r="30" spans="1:6" ht="21.95" customHeight="1">
      <c r="A30" s="170">
        <v>17</v>
      </c>
      <c r="B30" s="173" t="s">
        <v>242</v>
      </c>
      <c r="C30" s="153">
        <f ca="1">'Phu luc 02'!H45</f>
        <v>9546900</v>
      </c>
      <c r="D30" s="153"/>
      <c r="E30" s="153">
        <f t="shared" si="0"/>
        <v>9546900</v>
      </c>
      <c r="F30" s="153"/>
    </row>
    <row r="31" spans="1:6" ht="21.95" customHeight="1">
      <c r="A31" s="172">
        <v>18</v>
      </c>
      <c r="B31" s="173" t="s">
        <v>677</v>
      </c>
      <c r="C31" s="153">
        <f ca="1">'Phu luc 02'!H46</f>
        <v>1920000</v>
      </c>
      <c r="D31" s="153"/>
      <c r="E31" s="153">
        <f t="shared" si="0"/>
        <v>1920000</v>
      </c>
      <c r="F31" s="153"/>
    </row>
    <row r="32" spans="1:6" ht="21.95" customHeight="1">
      <c r="A32" s="170">
        <v>19</v>
      </c>
      <c r="B32" s="15" t="s">
        <v>679</v>
      </c>
      <c r="C32" s="153">
        <f ca="1">'Phu luc 02'!H47</f>
        <v>5723550</v>
      </c>
      <c r="D32" s="153"/>
      <c r="E32" s="153">
        <f t="shared" si="0"/>
        <v>5723550</v>
      </c>
      <c r="F32" s="153"/>
    </row>
    <row r="33" spans="1:8" ht="21.95" customHeight="1">
      <c r="A33" s="170">
        <v>20</v>
      </c>
      <c r="B33" s="15" t="s">
        <v>683</v>
      </c>
      <c r="C33" s="153">
        <f ca="1">'Phu luc 02'!H48</f>
        <v>2148000</v>
      </c>
      <c r="D33" s="153"/>
      <c r="E33" s="153">
        <f t="shared" si="0"/>
        <v>2148000</v>
      </c>
      <c r="F33" s="153"/>
    </row>
    <row r="34" spans="1:8" ht="21.95" customHeight="1">
      <c r="A34" s="172">
        <v>21</v>
      </c>
      <c r="B34" s="15" t="s">
        <v>688</v>
      </c>
      <c r="C34" s="153">
        <f ca="1">'Phu luc 02'!H49</f>
        <v>120000</v>
      </c>
      <c r="D34" s="153"/>
      <c r="E34" s="153">
        <f t="shared" si="0"/>
        <v>120000</v>
      </c>
      <c r="F34" s="153"/>
    </row>
    <row r="35" spans="1:8" ht="21.95" customHeight="1">
      <c r="A35" s="170">
        <v>22</v>
      </c>
      <c r="B35" s="15" t="s">
        <v>685</v>
      </c>
      <c r="C35" s="153">
        <f ca="1">'Phu luc 02'!H50</f>
        <v>3149100</v>
      </c>
      <c r="D35" s="153"/>
      <c r="E35" s="153">
        <f t="shared" si="0"/>
        <v>3149100</v>
      </c>
      <c r="F35" s="153"/>
    </row>
    <row r="36" spans="1:8" ht="21.95" customHeight="1">
      <c r="A36" s="172">
        <v>23</v>
      </c>
      <c r="B36" s="15" t="s">
        <v>125</v>
      </c>
      <c r="C36" s="153">
        <f ca="1">'Phu luc 02'!H51</f>
        <v>4103022</v>
      </c>
      <c r="D36" s="153"/>
      <c r="E36" s="153">
        <f t="shared" si="0"/>
        <v>4103022</v>
      </c>
      <c r="F36" s="153"/>
    </row>
    <row r="37" spans="1:8" ht="21.95" customHeight="1">
      <c r="A37" s="172">
        <v>24</v>
      </c>
      <c r="B37" s="15" t="s">
        <v>699</v>
      </c>
      <c r="C37" s="153">
        <f ca="1">'Phu luc 02'!H54</f>
        <v>5422050</v>
      </c>
      <c r="D37" s="153"/>
      <c r="E37" s="153">
        <f t="shared" si="0"/>
        <v>5422050</v>
      </c>
      <c r="F37" s="153"/>
    </row>
    <row r="38" spans="1:8" ht="33.75" customHeight="1">
      <c r="A38" s="170">
        <v>25</v>
      </c>
      <c r="B38" s="15" t="s">
        <v>702</v>
      </c>
      <c r="C38" s="153">
        <f ca="1">'Phu luc 02'!H60</f>
        <v>22274460</v>
      </c>
      <c r="D38" s="153"/>
      <c r="E38" s="153">
        <f t="shared" si="0"/>
        <v>22274460</v>
      </c>
      <c r="F38" s="153"/>
    </row>
    <row r="39" spans="1:8" ht="21.95" customHeight="1">
      <c r="A39" s="175" t="s">
        <v>3</v>
      </c>
      <c r="B39" s="176" t="s">
        <v>137</v>
      </c>
      <c r="C39" s="156">
        <f>SUM(C40:C40)</f>
        <v>468351</v>
      </c>
      <c r="D39" s="156">
        <f>SUM(D40:D40)</f>
        <v>808331.32915199921</v>
      </c>
      <c r="E39" s="156">
        <f t="shared" si="0"/>
        <v>1276682.3291519992</v>
      </c>
      <c r="F39" s="153"/>
    </row>
    <row r="40" spans="1:8" ht="21.95" customHeight="1">
      <c r="A40" s="170">
        <v>1</v>
      </c>
      <c r="B40" s="174" t="s">
        <v>649</v>
      </c>
      <c r="C40" s="153">
        <v>468351</v>
      </c>
      <c r="D40" s="153">
        <f ca="1">'Bieu 02'!H17</f>
        <v>808331.32915199921</v>
      </c>
      <c r="E40" s="153">
        <f t="shared" si="0"/>
        <v>1276682.3291519992</v>
      </c>
      <c r="F40" s="153"/>
      <c r="H40" s="343"/>
    </row>
    <row r="41" spans="1:8" ht="22.5" customHeight="1">
      <c r="A41" s="154"/>
      <c r="B41" s="155" t="s">
        <v>754</v>
      </c>
      <c r="C41" s="156">
        <f>C11+C39</f>
        <v>1989783267.0400002</v>
      </c>
      <c r="D41" s="156">
        <f>D11+D39</f>
        <v>808331.32915199921</v>
      </c>
      <c r="E41" s="156">
        <f>E11+E39</f>
        <v>1990591598.3691523</v>
      </c>
      <c r="F41" s="156">
        <f>SUM(F12:F40)</f>
        <v>0</v>
      </c>
    </row>
    <row r="42" spans="1:8" ht="21" customHeight="1">
      <c r="A42" s="514" t="s">
        <v>762</v>
      </c>
      <c r="B42" s="515"/>
      <c r="C42" s="515"/>
      <c r="D42" s="515"/>
      <c r="E42" s="515"/>
      <c r="F42" s="515"/>
    </row>
    <row r="43" spans="1:8" ht="18.75">
      <c r="A43" s="157"/>
      <c r="B43" s="157"/>
      <c r="C43" s="157"/>
      <c r="D43" s="157"/>
      <c r="E43" s="169"/>
      <c r="F43" s="157"/>
    </row>
    <row r="44" spans="1:8" ht="18.75">
      <c r="A44" s="157"/>
      <c r="B44" s="157"/>
      <c r="C44" s="158"/>
      <c r="D44" s="158"/>
      <c r="E44" s="451"/>
      <c r="F44" s="157"/>
    </row>
    <row r="45" spans="1:8" ht="18.75">
      <c r="A45" s="157"/>
      <c r="B45" s="157"/>
      <c r="C45" s="158"/>
      <c r="D45" s="158"/>
      <c r="E45" s="158"/>
      <c r="F45" s="157"/>
    </row>
    <row r="46" spans="1:8" ht="18.75">
      <c r="A46" s="157"/>
      <c r="B46" s="157"/>
      <c r="C46" s="159"/>
      <c r="D46" s="159"/>
      <c r="E46" s="159"/>
      <c r="F46" s="157"/>
    </row>
    <row r="47" spans="1:8" ht="18.75">
      <c r="A47" s="157"/>
      <c r="B47" s="157"/>
      <c r="C47" s="159"/>
      <c r="D47" s="159"/>
      <c r="E47" s="159"/>
      <c r="F47" s="157"/>
    </row>
    <row r="48" spans="1:8" ht="18.75">
      <c r="A48" s="157"/>
      <c r="B48" s="157"/>
      <c r="C48" s="159"/>
      <c r="D48" s="159"/>
      <c r="E48" s="159"/>
      <c r="F48" s="157"/>
    </row>
    <row r="49" spans="1:6" ht="18.75">
      <c r="A49" s="157"/>
      <c r="B49" s="157"/>
      <c r="C49" s="159"/>
      <c r="D49" s="159"/>
      <c r="E49" s="159"/>
      <c r="F49" s="157"/>
    </row>
    <row r="50" spans="1:6" ht="18.75">
      <c r="A50" s="157"/>
      <c r="B50" s="157"/>
      <c r="C50" s="159"/>
      <c r="D50" s="159"/>
      <c r="E50" s="159"/>
      <c r="F50" s="157"/>
    </row>
    <row r="51" spans="1:6" ht="16.5">
      <c r="C51" s="159"/>
      <c r="D51" s="159"/>
      <c r="E51" s="159"/>
    </row>
    <row r="52" spans="1:6" ht="16.5">
      <c r="C52" s="159"/>
      <c r="D52" s="159"/>
      <c r="E52" s="159"/>
    </row>
    <row r="53" spans="1:6" ht="16.5">
      <c r="C53" s="159"/>
      <c r="D53" s="159"/>
      <c r="E53" s="159"/>
    </row>
    <row r="54" spans="1:6">
      <c r="C54" s="160"/>
      <c r="D54" s="160"/>
      <c r="E54" s="160"/>
    </row>
  </sheetData>
  <mergeCells count="8">
    <mergeCell ref="A42:F42"/>
    <mergeCell ref="A4:F4"/>
    <mergeCell ref="A5:F5"/>
    <mergeCell ref="A1:C1"/>
    <mergeCell ref="A2:C2"/>
    <mergeCell ref="A8:A9"/>
    <mergeCell ref="B8:B9"/>
    <mergeCell ref="C8:E8"/>
  </mergeCells>
  <phoneticPr fontId="19" type="noConversion"/>
  <pageMargins left="0.6" right="0.19" top="0.53" bottom="0.5" header="0.5" footer="0.19"/>
  <pageSetup paperSize="9" scale="9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enableFormatConditionsCalculation="0">
    <tabColor indexed="10"/>
  </sheetPr>
  <dimension ref="A1:H54"/>
  <sheetViews>
    <sheetView tabSelected="1" topLeftCell="A25" workbookViewId="0">
      <selection activeCell="B8" sqref="B8:B9"/>
    </sheetView>
  </sheetViews>
  <sheetFormatPr defaultRowHeight="15"/>
  <cols>
    <col min="1" max="1" width="6.28515625" customWidth="1"/>
    <col min="2" max="2" width="32" customWidth="1"/>
    <col min="3" max="3" width="16.5703125" customWidth="1"/>
    <col min="4" max="4" width="14.28515625" customWidth="1"/>
    <col min="5" max="5" width="15.85546875" customWidth="1"/>
    <col min="6" max="6" width="13.42578125" customWidth="1"/>
    <col min="8" max="8" width="19" customWidth="1"/>
  </cols>
  <sheetData>
    <row r="1" spans="1:6" ht="16.5" customHeight="1">
      <c r="A1" s="468" t="s">
        <v>765</v>
      </c>
      <c r="B1" s="468"/>
      <c r="F1" s="1"/>
    </row>
    <row r="2" spans="1:6" ht="16.5" customHeight="1">
      <c r="A2" s="468" t="s">
        <v>764</v>
      </c>
      <c r="B2" s="468"/>
    </row>
    <row r="4" spans="1:6" ht="38.25" customHeight="1">
      <c r="A4" s="516" t="s">
        <v>743</v>
      </c>
      <c r="B4" s="517"/>
      <c r="C4" s="517"/>
      <c r="D4" s="517"/>
      <c r="E4" s="517"/>
      <c r="F4" s="517"/>
    </row>
    <row r="5" spans="1:6" ht="19.5" customHeight="1">
      <c r="A5" s="523" t="s">
        <v>755</v>
      </c>
      <c r="B5" s="523"/>
      <c r="C5" s="523"/>
      <c r="D5" s="523"/>
      <c r="E5" s="523"/>
      <c r="F5" s="523"/>
    </row>
    <row r="6" spans="1:6" ht="12.75" customHeight="1"/>
    <row r="7" spans="1:6" ht="18.75" customHeight="1">
      <c r="F7" s="151" t="s">
        <v>41</v>
      </c>
    </row>
    <row r="8" spans="1:6" ht="28.5" customHeight="1">
      <c r="A8" s="518" t="s">
        <v>5</v>
      </c>
      <c r="B8" s="518" t="s">
        <v>650</v>
      </c>
      <c r="C8" s="520" t="s">
        <v>653</v>
      </c>
      <c r="D8" s="521"/>
      <c r="E8" s="522"/>
      <c r="F8" s="161" t="s">
        <v>648</v>
      </c>
    </row>
    <row r="9" spans="1:6" ht="53.25" customHeight="1">
      <c r="A9" s="519"/>
      <c r="B9" s="519"/>
      <c r="C9" s="162" t="s">
        <v>744</v>
      </c>
      <c r="D9" s="162" t="s">
        <v>745</v>
      </c>
      <c r="E9" s="163" t="s">
        <v>9</v>
      </c>
      <c r="F9" s="164"/>
    </row>
    <row r="10" spans="1:6" ht="18.75" customHeight="1">
      <c r="A10" s="165" t="s">
        <v>6</v>
      </c>
      <c r="B10" s="165" t="s">
        <v>7</v>
      </c>
      <c r="C10" s="166">
        <v>1</v>
      </c>
      <c r="D10" s="167">
        <v>2</v>
      </c>
      <c r="E10" s="167" t="s">
        <v>651</v>
      </c>
      <c r="F10" s="168">
        <v>4</v>
      </c>
    </row>
    <row r="11" spans="1:6" ht="21.95" customHeight="1">
      <c r="A11" s="152" t="s">
        <v>2</v>
      </c>
      <c r="B11" s="20" t="s">
        <v>654</v>
      </c>
      <c r="C11" s="177">
        <f>SUM(C12:C21)+C23+C24+SUM(C26:C38)</f>
        <v>1989314916.0400002</v>
      </c>
      <c r="D11" s="177">
        <f>SUM(D12:D21)+D23+D24+SUM(D26:D38)</f>
        <v>0</v>
      </c>
      <c r="E11" s="177">
        <f>SUM(E12:E21)+E23+E24+SUM(E26:E38)</f>
        <v>1989314916.0400002</v>
      </c>
      <c r="F11" s="168"/>
    </row>
    <row r="12" spans="1:6" ht="21.95" customHeight="1">
      <c r="A12" s="170">
        <v>1</v>
      </c>
      <c r="B12" s="171" t="s">
        <v>39</v>
      </c>
      <c r="C12" s="153">
        <f ca="1">'Phu luc 02'!H17</f>
        <v>6277278</v>
      </c>
      <c r="D12" s="153"/>
      <c r="E12" s="153">
        <f>C12+D12</f>
        <v>6277278</v>
      </c>
      <c r="F12" s="153"/>
    </row>
    <row r="13" spans="1:6" ht="21.95" customHeight="1">
      <c r="A13" s="172">
        <v>2</v>
      </c>
      <c r="B13" s="173" t="s">
        <v>45</v>
      </c>
      <c r="C13" s="153">
        <f ca="1">'Phu luc 02'!H18</f>
        <v>8505021</v>
      </c>
      <c r="D13" s="153"/>
      <c r="E13" s="153">
        <f t="shared" ref="E13:E40" si="0">C13+D13</f>
        <v>8505021</v>
      </c>
      <c r="F13" s="153"/>
    </row>
    <row r="14" spans="1:6" ht="32.25" customHeight="1">
      <c r="A14" s="170">
        <v>3</v>
      </c>
      <c r="B14" s="15" t="s">
        <v>51</v>
      </c>
      <c r="C14" s="153">
        <f ca="1">'Phu luc 02'!H19</f>
        <v>10362069</v>
      </c>
      <c r="D14" s="153"/>
      <c r="E14" s="153">
        <f t="shared" si="0"/>
        <v>10362069</v>
      </c>
      <c r="F14" s="153"/>
    </row>
    <row r="15" spans="1:6" ht="21.95" customHeight="1">
      <c r="A15" s="170">
        <v>4</v>
      </c>
      <c r="B15" s="15" t="s">
        <v>60</v>
      </c>
      <c r="C15" s="153">
        <f ca="1">'Phu luc 02'!H20</f>
        <v>2526953</v>
      </c>
      <c r="D15" s="153"/>
      <c r="E15" s="153">
        <f t="shared" si="0"/>
        <v>2526953</v>
      </c>
      <c r="F15" s="153"/>
    </row>
    <row r="16" spans="1:6" ht="34.5" customHeight="1">
      <c r="A16" s="170">
        <v>5</v>
      </c>
      <c r="B16" s="15" t="s">
        <v>66</v>
      </c>
      <c r="C16" s="153">
        <f ca="1">'Phu luc 02'!H21</f>
        <v>0</v>
      </c>
      <c r="D16" s="153"/>
      <c r="E16" s="153">
        <f t="shared" si="0"/>
        <v>0</v>
      </c>
      <c r="F16" s="153"/>
    </row>
    <row r="17" spans="1:8" ht="21.95" customHeight="1">
      <c r="A17" s="172">
        <v>6</v>
      </c>
      <c r="B17" s="15" t="s">
        <v>104</v>
      </c>
      <c r="C17" s="153">
        <f ca="1">'Phu luc 02'!H22</f>
        <v>1581787</v>
      </c>
      <c r="D17" s="153"/>
      <c r="E17" s="153">
        <f t="shared" si="0"/>
        <v>1581787</v>
      </c>
      <c r="F17" s="153"/>
    </row>
    <row r="18" spans="1:8" ht="21.95" customHeight="1">
      <c r="A18" s="170">
        <v>7</v>
      </c>
      <c r="B18" s="15" t="s">
        <v>115</v>
      </c>
      <c r="C18" s="153">
        <f ca="1">'Phu luc 02'!H23</f>
        <v>7209750</v>
      </c>
      <c r="D18" s="153"/>
      <c r="E18" s="153">
        <f t="shared" si="0"/>
        <v>7209750</v>
      </c>
      <c r="F18" s="153"/>
    </row>
    <row r="19" spans="1:8" ht="21.95" customHeight="1">
      <c r="A19" s="170">
        <v>8</v>
      </c>
      <c r="B19" s="15" t="s">
        <v>129</v>
      </c>
      <c r="C19" s="153">
        <f ca="1">'Phu luc 02'!H24</f>
        <v>6206100</v>
      </c>
      <c r="D19" s="153"/>
      <c r="E19" s="153">
        <f t="shared" si="0"/>
        <v>6206100</v>
      </c>
      <c r="F19" s="153"/>
    </row>
    <row r="20" spans="1:8" ht="34.5" customHeight="1">
      <c r="A20" s="172">
        <v>9</v>
      </c>
      <c r="B20" s="15" t="s">
        <v>172</v>
      </c>
      <c r="C20" s="153">
        <f ca="1">'Phu luc 02'!H25</f>
        <v>5182804.0000000019</v>
      </c>
      <c r="D20" s="153"/>
      <c r="E20" s="153">
        <f t="shared" si="0"/>
        <v>5182804.0000000019</v>
      </c>
      <c r="F20" s="153"/>
    </row>
    <row r="21" spans="1:8" ht="21.95" customHeight="1">
      <c r="A21" s="170">
        <v>10</v>
      </c>
      <c r="B21" s="15" t="s">
        <v>548</v>
      </c>
      <c r="C21" s="153">
        <f ca="1">'Phu luc 02'!H26+'Phu luc 02'!H56</f>
        <v>1670688496.7400002</v>
      </c>
      <c r="D21" s="153"/>
      <c r="E21" s="153">
        <f t="shared" si="0"/>
        <v>1670688496.7400002</v>
      </c>
      <c r="F21" s="153"/>
    </row>
    <row r="22" spans="1:8" ht="36.75" customHeight="1">
      <c r="A22" s="170"/>
      <c r="B22" s="15" t="s">
        <v>747</v>
      </c>
      <c r="C22" s="153">
        <f ca="1">'Phu luc 02'!H56</f>
        <v>1659275384.7400002</v>
      </c>
      <c r="D22" s="153"/>
      <c r="E22" s="153">
        <f t="shared" si="0"/>
        <v>1659275384.7400002</v>
      </c>
      <c r="F22" s="153"/>
      <c r="H22" s="343"/>
    </row>
    <row r="23" spans="1:8" ht="24" customHeight="1">
      <c r="A23" s="170">
        <v>11</v>
      </c>
      <c r="B23" s="15" t="s">
        <v>593</v>
      </c>
      <c r="C23" s="153">
        <f ca="1">'Phu luc 02'!H27</f>
        <v>13644000</v>
      </c>
      <c r="D23" s="153"/>
      <c r="E23" s="153">
        <f t="shared" si="0"/>
        <v>13644000</v>
      </c>
      <c r="F23" s="179"/>
    </row>
    <row r="24" spans="1:8" ht="33" customHeight="1">
      <c r="A24" s="170">
        <v>12</v>
      </c>
      <c r="B24" s="15" t="s">
        <v>652</v>
      </c>
      <c r="C24" s="153">
        <f ca="1">'Phu luc 02'!H28</f>
        <v>151888425.30000001</v>
      </c>
      <c r="D24" s="153"/>
      <c r="E24" s="153">
        <f t="shared" si="0"/>
        <v>151888425.30000001</v>
      </c>
      <c r="F24" s="153"/>
    </row>
    <row r="25" spans="1:8" ht="21.95" customHeight="1">
      <c r="A25" s="170"/>
      <c r="B25" s="49" t="s">
        <v>746</v>
      </c>
      <c r="C25" s="153">
        <f ca="1">'Phu luc 02'!H31</f>
        <v>27551110.800000004</v>
      </c>
      <c r="D25" s="153"/>
      <c r="E25" s="153">
        <f t="shared" si="0"/>
        <v>27551110.800000004</v>
      </c>
      <c r="F25" s="153"/>
    </row>
    <row r="26" spans="1:8" ht="21.95" customHeight="1">
      <c r="A26" s="170">
        <v>13</v>
      </c>
      <c r="B26" s="15" t="s">
        <v>675</v>
      </c>
      <c r="C26" s="153">
        <f ca="1">'Phu luc 02'!H41</f>
        <v>13666650</v>
      </c>
      <c r="D26" s="153"/>
      <c r="E26" s="153">
        <f t="shared" si="0"/>
        <v>13666650</v>
      </c>
      <c r="F26" s="153"/>
    </row>
    <row r="27" spans="1:8" ht="21.95" customHeight="1">
      <c r="A27" s="170">
        <v>14</v>
      </c>
      <c r="B27" s="15" t="s">
        <v>228</v>
      </c>
      <c r="C27" s="153">
        <f ca="1">'Phu luc 02'!H42</f>
        <v>9201600.0000000019</v>
      </c>
      <c r="D27" s="153"/>
      <c r="E27" s="153">
        <f t="shared" si="0"/>
        <v>9201600.0000000019</v>
      </c>
      <c r="F27" s="153"/>
    </row>
    <row r="28" spans="1:8" ht="21.95" customHeight="1">
      <c r="A28" s="172">
        <v>15</v>
      </c>
      <c r="B28" s="173" t="s">
        <v>232</v>
      </c>
      <c r="C28" s="153">
        <f ca="1">'Phu luc 02'!H43</f>
        <v>14164500</v>
      </c>
      <c r="D28" s="153"/>
      <c r="E28" s="153">
        <f t="shared" si="0"/>
        <v>14164500</v>
      </c>
      <c r="F28" s="153"/>
    </row>
    <row r="29" spans="1:8" ht="21.95" customHeight="1">
      <c r="A29" s="170">
        <v>16</v>
      </c>
      <c r="B29" s="173" t="s">
        <v>237</v>
      </c>
      <c r="C29" s="153">
        <f ca="1">'Phu luc 02'!H44</f>
        <v>13802400</v>
      </c>
      <c r="D29" s="153"/>
      <c r="E29" s="153">
        <f t="shared" si="0"/>
        <v>13802400</v>
      </c>
      <c r="F29" s="153"/>
    </row>
    <row r="30" spans="1:8" ht="21.95" customHeight="1">
      <c r="A30" s="170">
        <v>17</v>
      </c>
      <c r="B30" s="173" t="s">
        <v>242</v>
      </c>
      <c r="C30" s="153">
        <f ca="1">'Phu luc 02'!H45</f>
        <v>9546900</v>
      </c>
      <c r="D30" s="153"/>
      <c r="E30" s="153">
        <f t="shared" si="0"/>
        <v>9546900</v>
      </c>
      <c r="F30" s="153"/>
    </row>
    <row r="31" spans="1:8" ht="21.95" customHeight="1">
      <c r="A31" s="172">
        <v>18</v>
      </c>
      <c r="B31" s="173" t="s">
        <v>677</v>
      </c>
      <c r="C31" s="153">
        <f ca="1">'Phu luc 02'!H46</f>
        <v>1920000</v>
      </c>
      <c r="D31" s="153"/>
      <c r="E31" s="153">
        <f t="shared" si="0"/>
        <v>1920000</v>
      </c>
      <c r="F31" s="153"/>
    </row>
    <row r="32" spans="1:8" ht="21.95" customHeight="1">
      <c r="A32" s="170">
        <v>19</v>
      </c>
      <c r="B32" s="15" t="s">
        <v>679</v>
      </c>
      <c r="C32" s="153">
        <f ca="1">'Phu luc 02'!H47</f>
        <v>5723550</v>
      </c>
      <c r="D32" s="153"/>
      <c r="E32" s="153">
        <f t="shared" si="0"/>
        <v>5723550</v>
      </c>
      <c r="F32" s="153"/>
    </row>
    <row r="33" spans="1:8" ht="21.95" customHeight="1">
      <c r="A33" s="170">
        <v>20</v>
      </c>
      <c r="B33" s="15" t="s">
        <v>683</v>
      </c>
      <c r="C33" s="153">
        <f ca="1">'Phu luc 02'!H48</f>
        <v>2148000</v>
      </c>
      <c r="D33" s="153"/>
      <c r="E33" s="153">
        <f t="shared" si="0"/>
        <v>2148000</v>
      </c>
      <c r="F33" s="153"/>
    </row>
    <row r="34" spans="1:8" ht="21.95" customHeight="1">
      <c r="A34" s="172">
        <v>21</v>
      </c>
      <c r="B34" s="15" t="s">
        <v>688</v>
      </c>
      <c r="C34" s="153">
        <f ca="1">'Phu luc 02'!H49</f>
        <v>120000</v>
      </c>
      <c r="D34" s="153"/>
      <c r="E34" s="153">
        <f t="shared" si="0"/>
        <v>120000</v>
      </c>
      <c r="F34" s="153"/>
    </row>
    <row r="35" spans="1:8" ht="21.95" customHeight="1">
      <c r="A35" s="170">
        <v>22</v>
      </c>
      <c r="B35" s="15" t="s">
        <v>685</v>
      </c>
      <c r="C35" s="153">
        <f ca="1">'Phu luc 02'!H50</f>
        <v>3149100</v>
      </c>
      <c r="D35" s="153"/>
      <c r="E35" s="153">
        <f t="shared" si="0"/>
        <v>3149100</v>
      </c>
      <c r="F35" s="153"/>
    </row>
    <row r="36" spans="1:8" ht="21.95" customHeight="1">
      <c r="A36" s="172">
        <v>23</v>
      </c>
      <c r="B36" s="15" t="s">
        <v>125</v>
      </c>
      <c r="C36" s="153">
        <f ca="1">'Phu luc 02'!H51</f>
        <v>4103022</v>
      </c>
      <c r="D36" s="153"/>
      <c r="E36" s="153">
        <f t="shared" si="0"/>
        <v>4103022</v>
      </c>
      <c r="F36" s="153"/>
    </row>
    <row r="37" spans="1:8" ht="21.95" customHeight="1">
      <c r="A37" s="172">
        <v>24</v>
      </c>
      <c r="B37" s="15" t="s">
        <v>699</v>
      </c>
      <c r="C37" s="153">
        <f ca="1">'Phu luc 02'!H54</f>
        <v>5422050</v>
      </c>
      <c r="D37" s="153"/>
      <c r="E37" s="153">
        <f t="shared" si="0"/>
        <v>5422050</v>
      </c>
      <c r="F37" s="153"/>
    </row>
    <row r="38" spans="1:8" ht="33.75" customHeight="1">
      <c r="A38" s="170">
        <v>25</v>
      </c>
      <c r="B38" s="15" t="s">
        <v>702</v>
      </c>
      <c r="C38" s="153">
        <f ca="1">'Phu luc 02'!H60</f>
        <v>22274460</v>
      </c>
      <c r="D38" s="153"/>
      <c r="E38" s="153">
        <f t="shared" si="0"/>
        <v>22274460</v>
      </c>
      <c r="F38" s="153"/>
    </row>
    <row r="39" spans="1:8" ht="21.95" customHeight="1">
      <c r="A39" s="175" t="s">
        <v>3</v>
      </c>
      <c r="B39" s="176" t="s">
        <v>137</v>
      </c>
      <c r="C39" s="156">
        <f>SUM(C40:C40)</f>
        <v>468351</v>
      </c>
      <c r="D39" s="156">
        <f>SUM(D40:D40)</f>
        <v>808331.32915199921</v>
      </c>
      <c r="E39" s="156">
        <f t="shared" si="0"/>
        <v>1276682.3291519992</v>
      </c>
      <c r="F39" s="153"/>
    </row>
    <row r="40" spans="1:8" ht="21.95" customHeight="1">
      <c r="A40" s="170">
        <v>1</v>
      </c>
      <c r="B40" s="174" t="s">
        <v>649</v>
      </c>
      <c r="C40" s="153">
        <v>468351</v>
      </c>
      <c r="D40" s="153">
        <f ca="1">'Bieu 02'!H17</f>
        <v>808331.32915199921</v>
      </c>
      <c r="E40" s="153">
        <f t="shared" si="0"/>
        <v>1276682.3291519992</v>
      </c>
      <c r="F40" s="153"/>
      <c r="H40" s="343"/>
    </row>
    <row r="41" spans="1:8" ht="22.5" customHeight="1">
      <c r="A41" s="154"/>
      <c r="B41" s="155" t="s">
        <v>754</v>
      </c>
      <c r="C41" s="156">
        <f>C11+C39</f>
        <v>1989783267.0400002</v>
      </c>
      <c r="D41" s="156">
        <f>D11+D39</f>
        <v>808331.32915199921</v>
      </c>
      <c r="E41" s="156">
        <f>E11+E39</f>
        <v>1990591598.3691523</v>
      </c>
      <c r="F41" s="156">
        <f>SUM(F12:F40)</f>
        <v>0</v>
      </c>
    </row>
    <row r="42" spans="1:8" ht="23.25" customHeight="1">
      <c r="A42" s="514" t="s">
        <v>763</v>
      </c>
      <c r="B42" s="515"/>
      <c r="C42" s="515"/>
      <c r="D42" s="515"/>
      <c r="E42" s="515"/>
      <c r="F42" s="515"/>
    </row>
    <row r="43" spans="1:8" ht="18.75">
      <c r="A43" s="157"/>
      <c r="B43" s="157"/>
      <c r="C43" s="157"/>
      <c r="D43" s="157"/>
      <c r="E43" s="169"/>
      <c r="F43" s="157"/>
    </row>
    <row r="44" spans="1:8" ht="18.75">
      <c r="A44" s="157"/>
      <c r="B44" s="157"/>
      <c r="C44" s="158"/>
      <c r="D44" s="158"/>
      <c r="E44" s="158"/>
      <c r="F44" s="157"/>
    </row>
    <row r="45" spans="1:8" ht="18.75">
      <c r="A45" s="157"/>
      <c r="B45" s="157"/>
      <c r="C45" s="158"/>
      <c r="D45" s="158"/>
      <c r="E45" s="158"/>
      <c r="F45" s="157"/>
    </row>
    <row r="46" spans="1:8" ht="18.75">
      <c r="A46" s="157"/>
      <c r="B46" s="157"/>
      <c r="C46" s="159"/>
      <c r="D46" s="159"/>
      <c r="E46" s="159"/>
      <c r="F46" s="157"/>
    </row>
    <row r="47" spans="1:8" ht="18.75">
      <c r="A47" s="157"/>
      <c r="B47" s="157"/>
      <c r="C47" s="159"/>
      <c r="D47" s="159"/>
      <c r="E47" s="159"/>
      <c r="F47" s="157"/>
    </row>
    <row r="48" spans="1:8" ht="18.75">
      <c r="A48" s="157"/>
      <c r="B48" s="157"/>
      <c r="C48" s="159"/>
      <c r="D48" s="159"/>
      <c r="E48" s="159"/>
      <c r="F48" s="157"/>
    </row>
    <row r="49" spans="1:6" ht="18.75">
      <c r="A49" s="157"/>
      <c r="B49" s="157"/>
      <c r="C49" s="159"/>
      <c r="D49" s="159"/>
      <c r="E49" s="159"/>
      <c r="F49" s="157"/>
    </row>
    <row r="50" spans="1:6" ht="18.75">
      <c r="A50" s="157"/>
      <c r="B50" s="157"/>
      <c r="C50" s="159"/>
      <c r="D50" s="159"/>
      <c r="E50" s="159"/>
      <c r="F50" s="157"/>
    </row>
    <row r="51" spans="1:6" ht="16.5">
      <c r="C51" s="159"/>
      <c r="D51" s="159"/>
      <c r="E51" s="159"/>
    </row>
    <row r="52" spans="1:6" ht="16.5">
      <c r="C52" s="159"/>
      <c r="D52" s="159"/>
      <c r="E52" s="159"/>
    </row>
    <row r="53" spans="1:6" ht="16.5">
      <c r="C53" s="159"/>
      <c r="D53" s="159"/>
      <c r="E53" s="159"/>
    </row>
    <row r="54" spans="1:6">
      <c r="C54" s="160"/>
      <c r="D54" s="160"/>
      <c r="E54" s="160"/>
    </row>
  </sheetData>
  <mergeCells count="8">
    <mergeCell ref="A1:B1"/>
    <mergeCell ref="A2:B2"/>
    <mergeCell ref="A4:F4"/>
    <mergeCell ref="A5:F5"/>
    <mergeCell ref="A42:F42"/>
    <mergeCell ref="C8:E8"/>
    <mergeCell ref="A8:A9"/>
    <mergeCell ref="B8:B9"/>
  </mergeCells>
  <phoneticPr fontId="19" type="noConversion"/>
  <pageMargins left="0.61" right="0.24" top="0.45" bottom="0.39" header="0.28999999999999998" footer="0.17"/>
  <pageSetup paperSize="9" scale="95"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Tài liệu" ma:contentTypeID="0x0101005C8A9EC051B55842BB2455D1E785FC16" ma:contentTypeVersion="0" ma:contentTypeDescription="Tạo tài liệu mới." ma:contentTypeScope="" ma:versionID="1d110bc37c9f1a3786ee1fb6d5c2b03a">
  <xsd:schema xmlns:xsd="http://www.w3.org/2001/XMLSchema" xmlns:p="http://schemas.microsoft.com/office/2006/metadata/properties" targetNamespace="http://schemas.microsoft.com/office/2006/metadata/properties" ma:root="true" ma:fieldsID="4c52d6b0291ed0d107fdc5dfa817740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Loại Nội dung" ma:readOnly="true"/>
        <xsd:element ref="dc:title" minOccurs="0" maxOccurs="1" ma:index="4" ma:displayName="Tiêu đ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17A0E3F2-AA7D-43A0-9C68-6EAC04E8A916}"/>
</file>

<file path=customXml/itemProps2.xml><?xml version="1.0" encoding="utf-8"?>
<ds:datastoreItem xmlns:ds="http://schemas.openxmlformats.org/officeDocument/2006/customXml" ds:itemID="{0D88005A-06FA-4270-A0D6-6EE0541F20D6}"/>
</file>

<file path=customXml/itemProps3.xml><?xml version="1.0" encoding="utf-8"?>
<ds:datastoreItem xmlns:ds="http://schemas.openxmlformats.org/officeDocument/2006/customXml" ds:itemID="{70278801-1739-457F-82E4-0C053F4342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Bieu 01</vt:lpstr>
      <vt:lpstr>Bieu 02</vt:lpstr>
      <vt:lpstr>Phu luc 02</vt:lpstr>
      <vt:lpstr>phu luc 01</vt:lpstr>
      <vt:lpstr>Bieu giao</vt:lpstr>
      <vt:lpstr>'Bieu 01'!Print_Titles</vt:lpstr>
      <vt:lpstr>'Bieu giao'!Print_Titles</vt:lpstr>
      <vt:lpstr>'phu luc 01'!Print_Titles</vt:lpstr>
      <vt:lpstr>'Phu luc 02'!Print_Titles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2019-10-07T07:24:49Z</cp:lastPrinted>
  <dcterms:created xsi:type="dcterms:W3CDTF">2006-09-16T00:00:00Z</dcterms:created>
  <dcterms:modified xsi:type="dcterms:W3CDTF">2019-10-07T08:02:06Z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0x0101005C8A9EC051B55842BB2455D1E785FC16</vt:lpwstr>
  </property>
</Properties>
</file>